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ne.sharepoint.com/sites/konomiledelse-gruppe/Shared Documents/General/"/>
    </mc:Choice>
  </mc:AlternateContent>
  <xr:revisionPtr revIDLastSave="0" documentId="8_{04C53F25-D317-4508-A994-BDD94023C105}" xr6:coauthVersionLast="47" xr6:coauthVersionMax="47" xr10:uidLastSave="{00000000-0000-0000-0000-000000000000}"/>
  <bookViews>
    <workbookView xWindow="9510" yWindow="-90" windowWidth="19380" windowHeight="10260" firstSheet="1" activeTab="1" xr2:uid="{A1853925-6CB7-4F23-8B4F-DC23AA48017D}"/>
  </bookViews>
  <sheets>
    <sheet name="Melkepriskalender (per liter)" sheetId="6" r:id="rId1"/>
    <sheet name="Melkepriskalender" sheetId="2" r:id="rId2"/>
    <sheet name="Ark1" sheetId="5" state="hidden" r:id="rId3"/>
    <sheet name="Antall kalvinger hos produsent" sheetId="4" state="hidden" r:id="rId4"/>
    <sheet name="Data" sheetId="1" state="hidden" r:id="rId5"/>
    <sheet name="Data (per liter)" sheetId="7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AD15" i="1" l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D3" i="1" l="1"/>
  <c r="D3" i="7" s="1"/>
  <c r="D12" i="1"/>
  <c r="D12" i="7" s="1"/>
  <c r="C13" i="1"/>
  <c r="C13" i="7" s="1"/>
  <c r="C3" i="1"/>
  <c r="C3" i="7" s="1"/>
  <c r="D7" i="1"/>
  <c r="D7" i="7" s="1"/>
  <c r="C4" i="1"/>
  <c r="C4" i="7" s="1"/>
  <c r="D4" i="1"/>
  <c r="D4" i="7" s="1"/>
  <c r="C5" i="1"/>
  <c r="C5" i="7" s="1"/>
  <c r="D5" i="1"/>
  <c r="D5" i="7" s="1"/>
  <c r="D9" i="1"/>
  <c r="D9" i="7" s="1"/>
  <c r="D13" i="1"/>
  <c r="D13" i="7" s="1"/>
  <c r="C7" i="1"/>
  <c r="C7" i="7" s="1"/>
  <c r="D11" i="1"/>
  <c r="D11" i="7" s="1"/>
  <c r="C8" i="1"/>
  <c r="C8" i="7" s="1"/>
  <c r="D8" i="1"/>
  <c r="D8" i="7" s="1"/>
  <c r="C6" i="1"/>
  <c r="C6" i="7" s="1"/>
  <c r="AC18" i="1"/>
  <c r="C10" i="1"/>
  <c r="C10" i="7" s="1"/>
  <c r="C14" i="1"/>
  <c r="C14" i="7" s="1"/>
  <c r="C11" i="1"/>
  <c r="C11" i="7" s="1"/>
  <c r="C12" i="1"/>
  <c r="C12" i="7" s="1"/>
  <c r="C9" i="1"/>
  <c r="C9" i="7" s="1"/>
  <c r="D6" i="1"/>
  <c r="D6" i="7" s="1"/>
  <c r="D10" i="1"/>
  <c r="D10" i="7" s="1"/>
  <c r="D14" i="1"/>
  <c r="D14" i="7" s="1"/>
  <c r="G197" i="7"/>
  <c r="G196" i="7"/>
  <c r="G195" i="7"/>
  <c r="G194" i="7"/>
  <c r="G193" i="7"/>
  <c r="G192" i="7"/>
  <c r="G191" i="7"/>
  <c r="G190" i="7"/>
  <c r="G189" i="7"/>
  <c r="G188" i="7"/>
  <c r="G187" i="7"/>
  <c r="G182" i="7"/>
  <c r="G181" i="7"/>
  <c r="G180" i="7"/>
  <c r="G179" i="7"/>
  <c r="G178" i="7"/>
  <c r="G177" i="7"/>
  <c r="G176" i="7"/>
  <c r="G175" i="7"/>
  <c r="G174" i="7"/>
  <c r="G173" i="7"/>
  <c r="G172" i="7"/>
  <c r="G167" i="7"/>
  <c r="G166" i="7"/>
  <c r="G165" i="7"/>
  <c r="G164" i="7"/>
  <c r="G163" i="7"/>
  <c r="G162" i="7"/>
  <c r="G161" i="7"/>
  <c r="G160" i="7"/>
  <c r="G159" i="7"/>
  <c r="G158" i="7"/>
  <c r="G157" i="7"/>
  <c r="G152" i="7"/>
  <c r="G151" i="7"/>
  <c r="G150" i="7"/>
  <c r="G149" i="7"/>
  <c r="G148" i="7"/>
  <c r="G147" i="7"/>
  <c r="G146" i="7"/>
  <c r="G145" i="7"/>
  <c r="G144" i="7"/>
  <c r="G143" i="7"/>
  <c r="G142" i="7"/>
  <c r="G137" i="7"/>
  <c r="G136" i="7"/>
  <c r="G135" i="7"/>
  <c r="G134" i="7"/>
  <c r="G133" i="7"/>
  <c r="G132" i="7"/>
  <c r="G131" i="7"/>
  <c r="G130" i="7"/>
  <c r="G129" i="7"/>
  <c r="G128" i="7"/>
  <c r="G127" i="7"/>
  <c r="G122" i="7"/>
  <c r="G121" i="7"/>
  <c r="G120" i="7"/>
  <c r="G119" i="7"/>
  <c r="G118" i="7"/>
  <c r="G117" i="7"/>
  <c r="G116" i="7"/>
  <c r="G115" i="7"/>
  <c r="G114" i="7"/>
  <c r="G113" i="7"/>
  <c r="G112" i="7"/>
  <c r="G107" i="7"/>
  <c r="G106" i="7"/>
  <c r="G105" i="7"/>
  <c r="G104" i="7"/>
  <c r="G103" i="7"/>
  <c r="G102" i="7"/>
  <c r="G101" i="7"/>
  <c r="G100" i="7"/>
  <c r="G99" i="7"/>
  <c r="G98" i="7"/>
  <c r="G97" i="7"/>
  <c r="G92" i="7"/>
  <c r="G91" i="7"/>
  <c r="G90" i="7"/>
  <c r="G89" i="7"/>
  <c r="G88" i="7"/>
  <c r="G87" i="7"/>
  <c r="G86" i="7"/>
  <c r="G85" i="7"/>
  <c r="G84" i="7"/>
  <c r="G83" i="7"/>
  <c r="G82" i="7"/>
  <c r="G77" i="7"/>
  <c r="G76" i="7"/>
  <c r="G75" i="7"/>
  <c r="G74" i="7"/>
  <c r="G73" i="7"/>
  <c r="G72" i="7"/>
  <c r="G71" i="7"/>
  <c r="G70" i="7"/>
  <c r="G69" i="7"/>
  <c r="G68" i="7"/>
  <c r="G67" i="7"/>
  <c r="G62" i="7"/>
  <c r="G61" i="7"/>
  <c r="G60" i="7"/>
  <c r="G59" i="7"/>
  <c r="G58" i="7"/>
  <c r="G57" i="7"/>
  <c r="G56" i="7"/>
  <c r="G55" i="7"/>
  <c r="G54" i="7"/>
  <c r="G53" i="7"/>
  <c r="G52" i="7"/>
  <c r="G47" i="7"/>
  <c r="G46" i="7"/>
  <c r="G45" i="7"/>
  <c r="G44" i="7"/>
  <c r="G43" i="7"/>
  <c r="G42" i="7"/>
  <c r="G41" i="7"/>
  <c r="G40" i="7"/>
  <c r="G39" i="7"/>
  <c r="G38" i="7"/>
  <c r="G37" i="7"/>
  <c r="G32" i="7"/>
  <c r="G31" i="7"/>
  <c r="G30" i="7"/>
  <c r="G29" i="7"/>
  <c r="G28" i="7"/>
  <c r="G27" i="7"/>
  <c r="G26" i="7"/>
  <c r="G25" i="7"/>
  <c r="G24" i="7"/>
  <c r="G23" i="7"/>
  <c r="G22" i="7"/>
  <c r="T30" i="7"/>
  <c r="S30" i="7"/>
  <c r="T29" i="7"/>
  <c r="S29" i="7"/>
  <c r="T28" i="7"/>
  <c r="S28" i="7"/>
  <c r="T27" i="7"/>
  <c r="S27" i="7"/>
  <c r="T26" i="7"/>
  <c r="S26" i="7"/>
  <c r="T25" i="7"/>
  <c r="S25" i="7"/>
  <c r="T24" i="7"/>
  <c r="S24" i="7"/>
  <c r="T23" i="7"/>
  <c r="S23" i="7"/>
  <c r="T22" i="7"/>
  <c r="S22" i="7"/>
  <c r="T21" i="7"/>
  <c r="S21" i="7"/>
  <c r="T20" i="7"/>
  <c r="S20" i="7"/>
  <c r="C20" i="7"/>
  <c r="B22" i="7" s="1"/>
  <c r="B20" i="7"/>
  <c r="C22" i="7" s="1"/>
  <c r="T19" i="7"/>
  <c r="S19" i="7"/>
  <c r="I4" i="7"/>
  <c r="I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E22" i="7" l="1"/>
  <c r="B23" i="7"/>
  <c r="D22" i="7"/>
  <c r="I6" i="7"/>
  <c r="F193" i="7"/>
  <c r="F174" i="7"/>
  <c r="F163" i="7"/>
  <c r="F144" i="7"/>
  <c r="F133" i="7"/>
  <c r="F114" i="7"/>
  <c r="F103" i="7"/>
  <c r="F84" i="7"/>
  <c r="F194" i="7"/>
  <c r="F175" i="7"/>
  <c r="F164" i="7"/>
  <c r="F145" i="7"/>
  <c r="F134" i="7"/>
  <c r="F115" i="7"/>
  <c r="F104" i="7"/>
  <c r="F85" i="7"/>
  <c r="F195" i="7"/>
  <c r="F197" i="7"/>
  <c r="F196" i="7"/>
  <c r="F188" i="7"/>
  <c r="F177" i="7"/>
  <c r="F167" i="7"/>
  <c r="F166" i="7"/>
  <c r="F158" i="7"/>
  <c r="F147" i="7"/>
  <c r="F137" i="7"/>
  <c r="F136" i="7"/>
  <c r="F128" i="7"/>
  <c r="F117" i="7"/>
  <c r="F107" i="7"/>
  <c r="F106" i="7"/>
  <c r="F98" i="7"/>
  <c r="F87" i="7"/>
  <c r="F77" i="7"/>
  <c r="F189" i="7"/>
  <c r="F178" i="7"/>
  <c r="F159" i="7"/>
  <c r="F148" i="7"/>
  <c r="F129" i="7"/>
  <c r="F118" i="7"/>
  <c r="F99" i="7"/>
  <c r="F88" i="7"/>
  <c r="F190" i="7"/>
  <c r="F179" i="7"/>
  <c r="F160" i="7"/>
  <c r="F149" i="7"/>
  <c r="F130" i="7"/>
  <c r="F119" i="7"/>
  <c r="F100" i="7"/>
  <c r="F89" i="7"/>
  <c r="F191" i="7"/>
  <c r="F180" i="7"/>
  <c r="F161" i="7"/>
  <c r="F150" i="7"/>
  <c r="F131" i="7"/>
  <c r="F120" i="7"/>
  <c r="F101" i="7"/>
  <c r="F192" i="7"/>
  <c r="F165" i="7"/>
  <c r="F76" i="7"/>
  <c r="F68" i="7"/>
  <c r="F57" i="7"/>
  <c r="F47" i="7"/>
  <c r="F46" i="7"/>
  <c r="F38" i="7"/>
  <c r="F27" i="7"/>
  <c r="F181" i="7"/>
  <c r="F152" i="7"/>
  <c r="F143" i="7"/>
  <c r="F102" i="7"/>
  <c r="F69" i="7"/>
  <c r="F58" i="7"/>
  <c r="F39" i="7"/>
  <c r="F26" i="7"/>
  <c r="F176" i="7"/>
  <c r="F135" i="7"/>
  <c r="F92" i="7"/>
  <c r="F86" i="7"/>
  <c r="F83" i="7"/>
  <c r="F70" i="7"/>
  <c r="F59" i="7"/>
  <c r="F40" i="7"/>
  <c r="F25" i="7"/>
  <c r="F151" i="7"/>
  <c r="F122" i="7"/>
  <c r="F113" i="7"/>
  <c r="F71" i="7"/>
  <c r="F60" i="7"/>
  <c r="F41" i="7"/>
  <c r="F24" i="7"/>
  <c r="F146" i="7"/>
  <c r="F105" i="7"/>
  <c r="F72" i="7"/>
  <c r="F62" i="7"/>
  <c r="F61" i="7"/>
  <c r="F53" i="7"/>
  <c r="F42" i="7"/>
  <c r="F32" i="7"/>
  <c r="F31" i="7"/>
  <c r="F23" i="7"/>
  <c r="F162" i="7"/>
  <c r="F121" i="7"/>
  <c r="F91" i="7"/>
  <c r="F73" i="7"/>
  <c r="F54" i="7"/>
  <c r="F43" i="7"/>
  <c r="F30" i="7"/>
  <c r="F22" i="7"/>
  <c r="F116" i="7"/>
  <c r="F74" i="7"/>
  <c r="F55" i="7"/>
  <c r="F44" i="7"/>
  <c r="F29" i="7"/>
  <c r="F182" i="7"/>
  <c r="F173" i="7"/>
  <c r="F132" i="7"/>
  <c r="F90" i="7"/>
  <c r="F75" i="7"/>
  <c r="F56" i="7"/>
  <c r="F45" i="7"/>
  <c r="C32" i="7"/>
  <c r="F28" i="7"/>
  <c r="C35" i="7"/>
  <c r="L23" i="4"/>
  <c r="I22" i="7" l="1"/>
  <c r="H22" i="7"/>
  <c r="I7" i="7"/>
  <c r="E23" i="7"/>
  <c r="I23" i="7" s="1"/>
  <c r="B24" i="7"/>
  <c r="D23" i="7"/>
  <c r="H23" i="7" s="1"/>
  <c r="A35" i="7"/>
  <c r="B35" i="7" s="1"/>
  <c r="C37" i="7" s="1"/>
  <c r="C50" i="7"/>
  <c r="B37" i="7"/>
  <c r="L3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E37" i="7" l="1"/>
  <c r="D37" i="7"/>
  <c r="B38" i="7"/>
  <c r="A50" i="7"/>
  <c r="B50" i="7" s="1"/>
  <c r="C52" i="7" s="1"/>
  <c r="C65" i="7"/>
  <c r="B52" i="7"/>
  <c r="C47" i="7"/>
  <c r="F37" i="7"/>
  <c r="E24" i="7"/>
  <c r="I24" i="7" s="1"/>
  <c r="B25" i="7"/>
  <c r="D24" i="7"/>
  <c r="H24" i="7" s="1"/>
  <c r="I8" i="7"/>
  <c r="P4" i="4"/>
  <c r="Q4" i="4" s="1"/>
  <c r="P3" i="4"/>
  <c r="Q3" i="4" s="1"/>
  <c r="P10" i="4"/>
  <c r="Q10" i="4" s="1"/>
  <c r="P5" i="4"/>
  <c r="P13" i="4"/>
  <c r="P11" i="4"/>
  <c r="P6" i="4"/>
  <c r="P12" i="4"/>
  <c r="P7" i="4"/>
  <c r="P8" i="4"/>
  <c r="P9" i="4"/>
  <c r="P2" i="4"/>
  <c r="I4" i="1"/>
  <c r="I37" i="7" l="1"/>
  <c r="H37" i="7"/>
  <c r="E52" i="7"/>
  <c r="D52" i="7"/>
  <c r="B53" i="7"/>
  <c r="E25" i="7"/>
  <c r="I25" i="7" s="1"/>
  <c r="B26" i="7"/>
  <c r="D25" i="7"/>
  <c r="H25" i="7" s="1"/>
  <c r="I9" i="7"/>
  <c r="C80" i="7"/>
  <c r="A65" i="7"/>
  <c r="B65" i="7" s="1"/>
  <c r="C67" i="7" s="1"/>
  <c r="B67" i="7"/>
  <c r="F52" i="7"/>
  <c r="C62" i="7"/>
  <c r="E38" i="7"/>
  <c r="I38" i="7" s="1"/>
  <c r="D38" i="7"/>
  <c r="H38" i="7" s="1"/>
  <c r="B39" i="7"/>
  <c r="Q5" i="4"/>
  <c r="Q8" i="4"/>
  <c r="Q9" i="4"/>
  <c r="P14" i="4"/>
  <c r="R6" i="4" s="1"/>
  <c r="S6" i="4" s="1"/>
  <c r="Q2" i="4"/>
  <c r="Q12" i="4"/>
  <c r="Q6" i="4"/>
  <c r="Q13" i="4"/>
  <c r="Q7" i="4"/>
  <c r="Q11" i="4"/>
  <c r="I5" i="1"/>
  <c r="B4" i="1"/>
  <c r="C20" i="1"/>
  <c r="C35" i="1" s="1"/>
  <c r="C50" i="1" s="1"/>
  <c r="I10" i="7" l="1"/>
  <c r="I52" i="7"/>
  <c r="H52" i="7"/>
  <c r="E26" i="7"/>
  <c r="I26" i="7" s="1"/>
  <c r="B27" i="7"/>
  <c r="D26" i="7"/>
  <c r="H26" i="7" s="1"/>
  <c r="C77" i="7"/>
  <c r="F67" i="7"/>
  <c r="B54" i="7"/>
  <c r="E53" i="7"/>
  <c r="I53" i="7" s="1"/>
  <c r="D53" i="7"/>
  <c r="H53" i="7" s="1"/>
  <c r="E67" i="7"/>
  <c r="D67" i="7"/>
  <c r="B68" i="7"/>
  <c r="C95" i="7"/>
  <c r="A80" i="7"/>
  <c r="B80" i="7" s="1"/>
  <c r="C82" i="7" s="1"/>
  <c r="B82" i="7"/>
  <c r="E39" i="7"/>
  <c r="I39" i="7" s="1"/>
  <c r="D39" i="7"/>
  <c r="H39" i="7" s="1"/>
  <c r="B40" i="7"/>
  <c r="T6" i="4"/>
  <c r="R7" i="4"/>
  <c r="S7" i="4" s="1"/>
  <c r="T7" i="4" s="1"/>
  <c r="R8" i="4"/>
  <c r="S8" i="4" s="1"/>
  <c r="T8" i="4" s="1"/>
  <c r="R3" i="4"/>
  <c r="S3" i="4" s="1"/>
  <c r="T3" i="4" s="1"/>
  <c r="R4" i="4"/>
  <c r="S4" i="4" s="1"/>
  <c r="T4" i="4" s="1"/>
  <c r="R10" i="4"/>
  <c r="S10" i="4" s="1"/>
  <c r="T10" i="4" s="1"/>
  <c r="R2" i="4"/>
  <c r="S2" i="4" s="1"/>
  <c r="T2" i="4" s="1"/>
  <c r="R9" i="4"/>
  <c r="S9" i="4" s="1"/>
  <c r="T9" i="4" s="1"/>
  <c r="R11" i="4"/>
  <c r="S11" i="4" s="1"/>
  <c r="T11" i="4" s="1"/>
  <c r="R12" i="4"/>
  <c r="S12" i="4" s="1"/>
  <c r="T12" i="4" s="1"/>
  <c r="R13" i="4"/>
  <c r="S13" i="4" s="1"/>
  <c r="T13" i="4" s="1"/>
  <c r="R5" i="4"/>
  <c r="S5" i="4" s="1"/>
  <c r="T5" i="4" s="1"/>
  <c r="I6" i="1"/>
  <c r="B5" i="1"/>
  <c r="B22" i="1"/>
  <c r="B20" i="1"/>
  <c r="C22" i="1" s="1"/>
  <c r="E40" i="7" l="1"/>
  <c r="I40" i="7" s="1"/>
  <c r="D40" i="7"/>
  <c r="H40" i="7" s="1"/>
  <c r="B41" i="7"/>
  <c r="D82" i="7"/>
  <c r="B83" i="7"/>
  <c r="E82" i="7"/>
  <c r="B55" i="7"/>
  <c r="E54" i="7"/>
  <c r="I54" i="7" s="1"/>
  <c r="D54" i="7"/>
  <c r="H54" i="7" s="1"/>
  <c r="E27" i="7"/>
  <c r="I27" i="7" s="1"/>
  <c r="B28" i="7"/>
  <c r="D27" i="7"/>
  <c r="H27" i="7" s="1"/>
  <c r="C92" i="7"/>
  <c r="F82" i="7"/>
  <c r="I67" i="7"/>
  <c r="H67" i="7"/>
  <c r="A95" i="7"/>
  <c r="B95" i="7" s="1"/>
  <c r="C97" i="7" s="1"/>
  <c r="C110" i="7"/>
  <c r="B97" i="7"/>
  <c r="I11" i="7"/>
  <c r="E68" i="7"/>
  <c r="I68" i="7" s="1"/>
  <c r="D68" i="7"/>
  <c r="H68" i="7" s="1"/>
  <c r="B69" i="7"/>
  <c r="B23" i="1"/>
  <c r="I7" i="1"/>
  <c r="A35" i="1"/>
  <c r="F197" i="1"/>
  <c r="G197" i="1" s="1"/>
  <c r="F190" i="1"/>
  <c r="G190" i="1" s="1"/>
  <c r="F182" i="1"/>
  <c r="G182" i="1" s="1"/>
  <c r="F176" i="1"/>
  <c r="G176" i="1" s="1"/>
  <c r="F162" i="1"/>
  <c r="G162" i="1" s="1"/>
  <c r="F151" i="1"/>
  <c r="G151" i="1" s="1"/>
  <c r="F145" i="1"/>
  <c r="G145" i="1" s="1"/>
  <c r="F130" i="1"/>
  <c r="G130" i="1" s="1"/>
  <c r="F121" i="1"/>
  <c r="G121" i="1" s="1"/>
  <c r="F115" i="1"/>
  <c r="G115" i="1" s="1"/>
  <c r="F104" i="1"/>
  <c r="G104" i="1" s="1"/>
  <c r="F88" i="1"/>
  <c r="G88" i="1" s="1"/>
  <c r="F73" i="1"/>
  <c r="G73" i="1" s="1"/>
  <c r="F74" i="1"/>
  <c r="G74" i="1" s="1"/>
  <c r="F167" i="1"/>
  <c r="G167" i="1" s="1"/>
  <c r="F122" i="1"/>
  <c r="G122" i="1" s="1"/>
  <c r="F196" i="1"/>
  <c r="G196" i="1" s="1"/>
  <c r="F181" i="1"/>
  <c r="G181" i="1" s="1"/>
  <c r="F175" i="1"/>
  <c r="G175" i="1" s="1"/>
  <c r="F166" i="1"/>
  <c r="G166" i="1" s="1"/>
  <c r="F161" i="1"/>
  <c r="G161" i="1" s="1"/>
  <c r="F150" i="1"/>
  <c r="G150" i="1" s="1"/>
  <c r="F144" i="1"/>
  <c r="G144" i="1" s="1"/>
  <c r="F135" i="1"/>
  <c r="G135" i="1" s="1"/>
  <c r="F114" i="1"/>
  <c r="G114" i="1" s="1"/>
  <c r="F103" i="1"/>
  <c r="G103" i="1" s="1"/>
  <c r="F87" i="1"/>
  <c r="G87" i="1" s="1"/>
  <c r="F163" i="1"/>
  <c r="G163" i="1" s="1"/>
  <c r="F90" i="1"/>
  <c r="G90" i="1" s="1"/>
  <c r="F177" i="1"/>
  <c r="G177" i="1" s="1"/>
  <c r="F105" i="1"/>
  <c r="G105" i="1" s="1"/>
  <c r="F195" i="1"/>
  <c r="G195" i="1" s="1"/>
  <c r="F189" i="1"/>
  <c r="G189" i="1" s="1"/>
  <c r="F180" i="1"/>
  <c r="G180" i="1" s="1"/>
  <c r="F160" i="1"/>
  <c r="G160" i="1" s="1"/>
  <c r="F149" i="1"/>
  <c r="G149" i="1" s="1"/>
  <c r="F143" i="1"/>
  <c r="G143" i="1" s="1"/>
  <c r="F134" i="1"/>
  <c r="G134" i="1" s="1"/>
  <c r="F129" i="1"/>
  <c r="G129" i="1" s="1"/>
  <c r="F120" i="1"/>
  <c r="G120" i="1" s="1"/>
  <c r="F113" i="1"/>
  <c r="G113" i="1" s="1"/>
  <c r="F102" i="1"/>
  <c r="G102" i="1" s="1"/>
  <c r="F77" i="1"/>
  <c r="G77" i="1" s="1"/>
  <c r="F72" i="1"/>
  <c r="G72" i="1" s="1"/>
  <c r="F117" i="1"/>
  <c r="G117" i="1" s="1"/>
  <c r="F69" i="1"/>
  <c r="G69" i="1" s="1"/>
  <c r="F136" i="1"/>
  <c r="G136" i="1" s="1"/>
  <c r="F89" i="1"/>
  <c r="G89" i="1" s="1"/>
  <c r="F194" i="1"/>
  <c r="G194" i="1" s="1"/>
  <c r="F188" i="1"/>
  <c r="G188" i="1" s="1"/>
  <c r="F174" i="1"/>
  <c r="G174" i="1" s="1"/>
  <c r="F165" i="1"/>
  <c r="G165" i="1" s="1"/>
  <c r="F159" i="1"/>
  <c r="G159" i="1" s="1"/>
  <c r="F148" i="1"/>
  <c r="G148" i="1" s="1"/>
  <c r="F128" i="1"/>
  <c r="G128" i="1" s="1"/>
  <c r="F92" i="1"/>
  <c r="G92" i="1" s="1"/>
  <c r="F86" i="1"/>
  <c r="G86" i="1" s="1"/>
  <c r="F76" i="1"/>
  <c r="G76" i="1" s="1"/>
  <c r="F178" i="1"/>
  <c r="G178" i="1" s="1"/>
  <c r="F99" i="1"/>
  <c r="G99" i="1" s="1"/>
  <c r="F116" i="1"/>
  <c r="G116" i="1" s="1"/>
  <c r="F68" i="1"/>
  <c r="G68" i="1" s="1"/>
  <c r="F193" i="1"/>
  <c r="G193" i="1" s="1"/>
  <c r="F179" i="1"/>
  <c r="G179" i="1" s="1"/>
  <c r="F173" i="1"/>
  <c r="G173" i="1" s="1"/>
  <c r="F133" i="1"/>
  <c r="G133" i="1" s="1"/>
  <c r="F119" i="1"/>
  <c r="G119" i="1" s="1"/>
  <c r="F107" i="1"/>
  <c r="G107" i="1" s="1"/>
  <c r="F101" i="1"/>
  <c r="G101" i="1" s="1"/>
  <c r="F91" i="1"/>
  <c r="G91" i="1" s="1"/>
  <c r="F85" i="1"/>
  <c r="G85" i="1" s="1"/>
  <c r="F71" i="1"/>
  <c r="G71" i="1" s="1"/>
  <c r="F152" i="1"/>
  <c r="G152" i="1" s="1"/>
  <c r="F131" i="1"/>
  <c r="G131" i="1" s="1"/>
  <c r="F98" i="1"/>
  <c r="G98" i="1" s="1"/>
  <c r="F192" i="1"/>
  <c r="G192" i="1" s="1"/>
  <c r="F164" i="1"/>
  <c r="G164" i="1" s="1"/>
  <c r="F158" i="1"/>
  <c r="G158" i="1" s="1"/>
  <c r="F147" i="1"/>
  <c r="G147" i="1" s="1"/>
  <c r="F132" i="1"/>
  <c r="G132" i="1" s="1"/>
  <c r="F118" i="1"/>
  <c r="G118" i="1" s="1"/>
  <c r="F106" i="1"/>
  <c r="G106" i="1" s="1"/>
  <c r="F100" i="1"/>
  <c r="G100" i="1" s="1"/>
  <c r="F84" i="1"/>
  <c r="G84" i="1" s="1"/>
  <c r="F75" i="1"/>
  <c r="G75" i="1" s="1"/>
  <c r="F70" i="1"/>
  <c r="G70" i="1" s="1"/>
  <c r="F137" i="1"/>
  <c r="G137" i="1" s="1"/>
  <c r="F83" i="1"/>
  <c r="G83" i="1" s="1"/>
  <c r="F191" i="1"/>
  <c r="G191" i="1" s="1"/>
  <c r="F146" i="1"/>
  <c r="G146" i="1" s="1"/>
  <c r="B6" i="1"/>
  <c r="F60" i="1"/>
  <c r="G60" i="1" s="1"/>
  <c r="F53" i="1"/>
  <c r="G53" i="1" s="1"/>
  <c r="F31" i="1"/>
  <c r="G31" i="1" s="1"/>
  <c r="F23" i="1"/>
  <c r="G23" i="1" s="1"/>
  <c r="F59" i="1"/>
  <c r="G59" i="1" s="1"/>
  <c r="F43" i="1"/>
  <c r="G43" i="1" s="1"/>
  <c r="F30" i="1"/>
  <c r="G30" i="1" s="1"/>
  <c r="F22" i="1"/>
  <c r="G22" i="1" s="1"/>
  <c r="F58" i="1"/>
  <c r="G58" i="1" s="1"/>
  <c r="F42" i="1"/>
  <c r="G42" i="1" s="1"/>
  <c r="F29" i="1"/>
  <c r="G29" i="1" s="1"/>
  <c r="F57" i="1"/>
  <c r="G57" i="1" s="1"/>
  <c r="F41" i="1"/>
  <c r="G41" i="1" s="1"/>
  <c r="F28" i="1"/>
  <c r="G28" i="1" s="1"/>
  <c r="F46" i="1"/>
  <c r="G46" i="1" s="1"/>
  <c r="F26" i="1"/>
  <c r="G26" i="1" s="1"/>
  <c r="F45" i="1"/>
  <c r="G45" i="1" s="1"/>
  <c r="F61" i="1"/>
  <c r="G61" i="1" s="1"/>
  <c r="F44" i="1"/>
  <c r="G44" i="1" s="1"/>
  <c r="F24" i="1"/>
  <c r="G24" i="1" s="1"/>
  <c r="F56" i="1"/>
  <c r="G56" i="1" s="1"/>
  <c r="F47" i="1"/>
  <c r="G47" i="1" s="1"/>
  <c r="F40" i="1"/>
  <c r="G40" i="1" s="1"/>
  <c r="F27" i="1"/>
  <c r="G27" i="1" s="1"/>
  <c r="F55" i="1"/>
  <c r="G55" i="1" s="1"/>
  <c r="F39" i="1"/>
  <c r="G39" i="1" s="1"/>
  <c r="F62" i="1"/>
  <c r="G62" i="1" s="1"/>
  <c r="F38" i="1"/>
  <c r="G38" i="1" s="1"/>
  <c r="F25" i="1"/>
  <c r="G25" i="1" s="1"/>
  <c r="F54" i="1"/>
  <c r="G54" i="1" s="1"/>
  <c r="F32" i="1"/>
  <c r="G32" i="1" s="1"/>
  <c r="B37" i="1"/>
  <c r="C32" i="1"/>
  <c r="B24" i="1"/>
  <c r="I12" i="7" l="1"/>
  <c r="E97" i="7"/>
  <c r="D97" i="7"/>
  <c r="B98" i="7"/>
  <c r="E28" i="7"/>
  <c r="I28" i="7" s="1"/>
  <c r="B29" i="7"/>
  <c r="D28" i="7"/>
  <c r="H28" i="7" s="1"/>
  <c r="E41" i="7"/>
  <c r="I41" i="7" s="1"/>
  <c r="D41" i="7"/>
  <c r="H41" i="7" s="1"/>
  <c r="B42" i="7"/>
  <c r="C125" i="7"/>
  <c r="B112" i="7"/>
  <c r="A110" i="7"/>
  <c r="B110" i="7" s="1"/>
  <c r="C112" i="7" s="1"/>
  <c r="E69" i="7"/>
  <c r="I69" i="7" s="1"/>
  <c r="D69" i="7"/>
  <c r="H69" i="7" s="1"/>
  <c r="B70" i="7"/>
  <c r="C107" i="7"/>
  <c r="F97" i="7"/>
  <c r="D55" i="7"/>
  <c r="H55" i="7" s="1"/>
  <c r="B56" i="7"/>
  <c r="E55" i="7"/>
  <c r="I55" i="7" s="1"/>
  <c r="I82" i="7"/>
  <c r="H82" i="7"/>
  <c r="E83" i="7"/>
  <c r="I83" i="7" s="1"/>
  <c r="D83" i="7"/>
  <c r="H83" i="7" s="1"/>
  <c r="B84" i="7"/>
  <c r="I8" i="1"/>
  <c r="C65" i="1"/>
  <c r="A50" i="1"/>
  <c r="B50" i="1" s="1"/>
  <c r="C52" i="1" s="1"/>
  <c r="B35" i="1"/>
  <c r="C37" i="1" s="1"/>
  <c r="C47" i="1" s="1"/>
  <c r="B7" i="1"/>
  <c r="B52" i="1"/>
  <c r="B38" i="1"/>
  <c r="B25" i="1"/>
  <c r="I13" i="7" l="1"/>
  <c r="E56" i="7"/>
  <c r="I56" i="7" s="1"/>
  <c r="D56" i="7"/>
  <c r="H56" i="7" s="1"/>
  <c r="B57" i="7"/>
  <c r="F112" i="7"/>
  <c r="C122" i="7"/>
  <c r="A125" i="7"/>
  <c r="B125" i="7" s="1"/>
  <c r="C127" i="7" s="1"/>
  <c r="C140" i="7"/>
  <c r="B127" i="7"/>
  <c r="E98" i="7"/>
  <c r="I98" i="7" s="1"/>
  <c r="D98" i="7"/>
  <c r="H98" i="7" s="1"/>
  <c r="B99" i="7"/>
  <c r="D112" i="7"/>
  <c r="B113" i="7"/>
  <c r="E112" i="7"/>
  <c r="H97" i="7"/>
  <c r="I97" i="7"/>
  <c r="B43" i="7"/>
  <c r="E42" i="7"/>
  <c r="I42" i="7" s="1"/>
  <c r="D42" i="7"/>
  <c r="H42" i="7" s="1"/>
  <c r="B30" i="7"/>
  <c r="D29" i="7"/>
  <c r="H29" i="7" s="1"/>
  <c r="E29" i="7"/>
  <c r="I29" i="7" s="1"/>
  <c r="E84" i="7"/>
  <c r="I84" i="7" s="1"/>
  <c r="B85" i="7"/>
  <c r="D84" i="7"/>
  <c r="H84" i="7" s="1"/>
  <c r="E70" i="7"/>
  <c r="I70" i="7" s="1"/>
  <c r="D70" i="7"/>
  <c r="H70" i="7" s="1"/>
  <c r="B71" i="7"/>
  <c r="I9" i="1"/>
  <c r="C80" i="1"/>
  <c r="A65" i="1"/>
  <c r="B65" i="1" s="1"/>
  <c r="C67" i="1" s="1"/>
  <c r="C77" i="1" s="1"/>
  <c r="B67" i="1"/>
  <c r="F37" i="1"/>
  <c r="G37" i="1" s="1"/>
  <c r="B8" i="1"/>
  <c r="C62" i="1"/>
  <c r="F52" i="1"/>
  <c r="G52" i="1" s="1"/>
  <c r="B39" i="1"/>
  <c r="B53" i="1"/>
  <c r="B26" i="1"/>
  <c r="B100" i="7" l="1"/>
  <c r="E99" i="7"/>
  <c r="I99" i="7" s="1"/>
  <c r="D99" i="7"/>
  <c r="H99" i="7" s="1"/>
  <c r="E127" i="7"/>
  <c r="D127" i="7"/>
  <c r="B128" i="7"/>
  <c r="C155" i="7"/>
  <c r="B142" i="7"/>
  <c r="A140" i="7"/>
  <c r="B140" i="7" s="1"/>
  <c r="C142" i="7" s="1"/>
  <c r="E30" i="7"/>
  <c r="I30" i="7" s="1"/>
  <c r="B31" i="7"/>
  <c r="D30" i="7"/>
  <c r="H30" i="7" s="1"/>
  <c r="C137" i="7"/>
  <c r="F127" i="7"/>
  <c r="I14" i="7"/>
  <c r="E57" i="7"/>
  <c r="I57" i="7" s="1"/>
  <c r="D57" i="7"/>
  <c r="H57" i="7" s="1"/>
  <c r="B58" i="7"/>
  <c r="D85" i="7"/>
  <c r="H85" i="7" s="1"/>
  <c r="B86" i="7"/>
  <c r="E85" i="7"/>
  <c r="I85" i="7" s="1"/>
  <c r="B44" i="7"/>
  <c r="E43" i="7"/>
  <c r="I43" i="7" s="1"/>
  <c r="D43" i="7"/>
  <c r="H43" i="7" s="1"/>
  <c r="E71" i="7"/>
  <c r="I71" i="7" s="1"/>
  <c r="D71" i="7"/>
  <c r="H71" i="7" s="1"/>
  <c r="B72" i="7"/>
  <c r="E113" i="7"/>
  <c r="I113" i="7" s="1"/>
  <c r="D113" i="7"/>
  <c r="H113" i="7" s="1"/>
  <c r="B114" i="7"/>
  <c r="I112" i="7"/>
  <c r="H112" i="7"/>
  <c r="B68" i="1"/>
  <c r="I10" i="1"/>
  <c r="C95" i="1"/>
  <c r="A80" i="1"/>
  <c r="B80" i="1" s="1"/>
  <c r="C82" i="1" s="1"/>
  <c r="F67" i="1"/>
  <c r="G67" i="1" s="1"/>
  <c r="B82" i="1"/>
  <c r="B9" i="1"/>
  <c r="B54" i="1"/>
  <c r="B40" i="1"/>
  <c r="B27" i="1"/>
  <c r="B32" i="7" l="1"/>
  <c r="E31" i="7"/>
  <c r="I31" i="7" s="1"/>
  <c r="D31" i="7"/>
  <c r="H31" i="7" s="1"/>
  <c r="E114" i="7"/>
  <c r="I114" i="7" s="1"/>
  <c r="B115" i="7"/>
  <c r="D114" i="7"/>
  <c r="H114" i="7" s="1"/>
  <c r="B73" i="7"/>
  <c r="E72" i="7"/>
  <c r="I72" i="7" s="1"/>
  <c r="D72" i="7"/>
  <c r="H72" i="7" s="1"/>
  <c r="F142" i="7"/>
  <c r="C152" i="7"/>
  <c r="D44" i="7"/>
  <c r="H44" i="7" s="1"/>
  <c r="B45" i="7"/>
  <c r="E44" i="7"/>
  <c r="I44" i="7" s="1"/>
  <c r="D142" i="7"/>
  <c r="B143" i="7"/>
  <c r="E142" i="7"/>
  <c r="B101" i="7"/>
  <c r="E100" i="7"/>
  <c r="I100" i="7" s="1"/>
  <c r="D100" i="7"/>
  <c r="H100" i="7" s="1"/>
  <c r="A155" i="7"/>
  <c r="B155" i="7" s="1"/>
  <c r="C157" i="7" s="1"/>
  <c r="C170" i="7"/>
  <c r="B157" i="7"/>
  <c r="E58" i="7"/>
  <c r="I58" i="7" s="1"/>
  <c r="D58" i="7"/>
  <c r="H58" i="7" s="1"/>
  <c r="B59" i="7"/>
  <c r="E86" i="7"/>
  <c r="I86" i="7" s="1"/>
  <c r="D86" i="7"/>
  <c r="H86" i="7" s="1"/>
  <c r="B87" i="7"/>
  <c r="H127" i="7"/>
  <c r="I127" i="7"/>
  <c r="E128" i="7"/>
  <c r="I128" i="7" s="1"/>
  <c r="D128" i="7"/>
  <c r="H128" i="7" s="1"/>
  <c r="B129" i="7"/>
  <c r="B69" i="1"/>
  <c r="B83" i="1"/>
  <c r="I11" i="1"/>
  <c r="C110" i="1"/>
  <c r="B112" i="1" s="1"/>
  <c r="A95" i="1"/>
  <c r="B95" i="1" s="1"/>
  <c r="C97" i="1" s="1"/>
  <c r="F97" i="1" s="1"/>
  <c r="G97" i="1" s="1"/>
  <c r="B97" i="1"/>
  <c r="C92" i="1"/>
  <c r="F82" i="1"/>
  <c r="G82" i="1" s="1"/>
  <c r="B10" i="1"/>
  <c r="B55" i="1"/>
  <c r="B41" i="1"/>
  <c r="B28" i="1"/>
  <c r="E157" i="7" l="1"/>
  <c r="D157" i="7"/>
  <c r="B158" i="7"/>
  <c r="C167" i="7"/>
  <c r="F157" i="7"/>
  <c r="E87" i="7"/>
  <c r="I87" i="7" s="1"/>
  <c r="D87" i="7"/>
  <c r="H87" i="7" s="1"/>
  <c r="B88" i="7"/>
  <c r="C185" i="7"/>
  <c r="B172" i="7"/>
  <c r="A170" i="7"/>
  <c r="B170" i="7" s="1"/>
  <c r="C172" i="7" s="1"/>
  <c r="B74" i="7"/>
  <c r="E73" i="7"/>
  <c r="I73" i="7" s="1"/>
  <c r="D73" i="7"/>
  <c r="H73" i="7" s="1"/>
  <c r="E32" i="7"/>
  <c r="I32" i="7" s="1"/>
  <c r="K20" i="7" s="1"/>
  <c r="Q12" i="7" s="1"/>
  <c r="R12" i="7" s="1"/>
  <c r="D32" i="7"/>
  <c r="H32" i="7" s="1"/>
  <c r="J20" i="7" s="1"/>
  <c r="B130" i="7"/>
  <c r="E129" i="7"/>
  <c r="I129" i="7" s="1"/>
  <c r="D129" i="7"/>
  <c r="H129" i="7" s="1"/>
  <c r="E45" i="7"/>
  <c r="I45" i="7" s="1"/>
  <c r="D45" i="7"/>
  <c r="H45" i="7" s="1"/>
  <c r="B46" i="7"/>
  <c r="D115" i="7"/>
  <c r="H115" i="7" s="1"/>
  <c r="B116" i="7"/>
  <c r="E115" i="7"/>
  <c r="I115" i="7" s="1"/>
  <c r="E59" i="7"/>
  <c r="I59" i="7" s="1"/>
  <c r="D59" i="7"/>
  <c r="H59" i="7" s="1"/>
  <c r="B60" i="7"/>
  <c r="D101" i="7"/>
  <c r="H101" i="7" s="1"/>
  <c r="B102" i="7"/>
  <c r="E101" i="7"/>
  <c r="I101" i="7" s="1"/>
  <c r="E143" i="7"/>
  <c r="I143" i="7" s="1"/>
  <c r="D143" i="7"/>
  <c r="H143" i="7" s="1"/>
  <c r="B144" i="7"/>
  <c r="I142" i="7"/>
  <c r="H142" i="7"/>
  <c r="B98" i="1"/>
  <c r="B70" i="1"/>
  <c r="B84" i="1"/>
  <c r="B113" i="1"/>
  <c r="I12" i="1"/>
  <c r="C107" i="1"/>
  <c r="C125" i="1"/>
  <c r="B127" i="1" s="1"/>
  <c r="A110" i="1"/>
  <c r="B110" i="1" s="1"/>
  <c r="C112" i="1" s="1"/>
  <c r="B11" i="1"/>
  <c r="B56" i="1"/>
  <c r="B42" i="1"/>
  <c r="B29" i="1"/>
  <c r="M12" i="7" l="1"/>
  <c r="N12" i="7" s="1"/>
  <c r="O12" i="7" s="1"/>
  <c r="T3" i="7"/>
  <c r="S12" i="7"/>
  <c r="B131" i="7"/>
  <c r="E130" i="7"/>
  <c r="I130" i="7" s="1"/>
  <c r="D130" i="7"/>
  <c r="H130" i="7" s="1"/>
  <c r="A185" i="7"/>
  <c r="B185" i="7" s="1"/>
  <c r="C187" i="7" s="1"/>
  <c r="B187" i="7"/>
  <c r="E158" i="7"/>
  <c r="I158" i="7" s="1"/>
  <c r="D158" i="7"/>
  <c r="H158" i="7" s="1"/>
  <c r="B159" i="7"/>
  <c r="B89" i="7"/>
  <c r="E88" i="7"/>
  <c r="I88" i="7" s="1"/>
  <c r="D88" i="7"/>
  <c r="H88" i="7" s="1"/>
  <c r="E46" i="7"/>
  <c r="I46" i="7" s="1"/>
  <c r="D46" i="7"/>
  <c r="H46" i="7" s="1"/>
  <c r="B47" i="7"/>
  <c r="E144" i="7"/>
  <c r="I144" i="7" s="1"/>
  <c r="B145" i="7"/>
  <c r="D144" i="7"/>
  <c r="H144" i="7" s="1"/>
  <c r="D172" i="7"/>
  <c r="B173" i="7"/>
  <c r="E172" i="7"/>
  <c r="E102" i="7"/>
  <c r="I102" i="7" s="1"/>
  <c r="D102" i="7"/>
  <c r="H102" i="7" s="1"/>
  <c r="B103" i="7"/>
  <c r="E116" i="7"/>
  <c r="I116" i="7" s="1"/>
  <c r="D116" i="7"/>
  <c r="H116" i="7" s="1"/>
  <c r="B117" i="7"/>
  <c r="E60" i="7"/>
  <c r="I60" i="7" s="1"/>
  <c r="D60" i="7"/>
  <c r="H60" i="7" s="1"/>
  <c r="B61" i="7"/>
  <c r="D74" i="7"/>
  <c r="H74" i="7" s="1"/>
  <c r="B75" i="7"/>
  <c r="E74" i="7"/>
  <c r="I74" i="7" s="1"/>
  <c r="H157" i="7"/>
  <c r="I157" i="7"/>
  <c r="F172" i="7"/>
  <c r="C182" i="7"/>
  <c r="B85" i="1"/>
  <c r="B71" i="1"/>
  <c r="B114" i="1"/>
  <c r="B99" i="1"/>
  <c r="B128" i="1"/>
  <c r="I13" i="1"/>
  <c r="C140" i="1"/>
  <c r="B142" i="1" s="1"/>
  <c r="A125" i="1"/>
  <c r="B125" i="1" s="1"/>
  <c r="C127" i="1" s="1"/>
  <c r="C137" i="1" s="1"/>
  <c r="F112" i="1"/>
  <c r="G112" i="1" s="1"/>
  <c r="C122" i="1"/>
  <c r="B12" i="1"/>
  <c r="B43" i="1"/>
  <c r="B57" i="1"/>
  <c r="B30" i="1"/>
  <c r="P3" i="7" l="1"/>
  <c r="L3" i="7"/>
  <c r="K12" i="7"/>
  <c r="I172" i="7"/>
  <c r="H172" i="7"/>
  <c r="E173" i="7"/>
  <c r="I173" i="7" s="1"/>
  <c r="D173" i="7"/>
  <c r="H173" i="7" s="1"/>
  <c r="B174" i="7"/>
  <c r="C197" i="7"/>
  <c r="F187" i="7"/>
  <c r="E117" i="7"/>
  <c r="I117" i="7" s="1"/>
  <c r="D117" i="7"/>
  <c r="H117" i="7" s="1"/>
  <c r="B118" i="7"/>
  <c r="E75" i="7"/>
  <c r="I75" i="7" s="1"/>
  <c r="D75" i="7"/>
  <c r="H75" i="7" s="1"/>
  <c r="B76" i="7"/>
  <c r="B160" i="7"/>
  <c r="E159" i="7"/>
  <c r="I159" i="7" s="1"/>
  <c r="D159" i="7"/>
  <c r="H159" i="7" s="1"/>
  <c r="D131" i="7"/>
  <c r="H131" i="7" s="1"/>
  <c r="B132" i="7"/>
  <c r="E131" i="7"/>
  <c r="I131" i="7" s="1"/>
  <c r="E103" i="7"/>
  <c r="I103" i="7" s="1"/>
  <c r="B104" i="7"/>
  <c r="D103" i="7"/>
  <c r="H103" i="7" s="1"/>
  <c r="B62" i="7"/>
  <c r="E61" i="7"/>
  <c r="I61" i="7" s="1"/>
  <c r="D61" i="7"/>
  <c r="H61" i="7" s="1"/>
  <c r="E47" i="7"/>
  <c r="I47" i="7" s="1"/>
  <c r="K35" i="7" s="1"/>
  <c r="Q13" i="7" s="1"/>
  <c r="R13" i="7" s="1"/>
  <c r="D47" i="7"/>
  <c r="H47" i="7" s="1"/>
  <c r="J35" i="7" s="1"/>
  <c r="M13" i="7" s="1"/>
  <c r="N13" i="7" s="1"/>
  <c r="B90" i="7"/>
  <c r="E89" i="7"/>
  <c r="I89" i="7" s="1"/>
  <c r="D89" i="7"/>
  <c r="H89" i="7" s="1"/>
  <c r="D145" i="7"/>
  <c r="H145" i="7" s="1"/>
  <c r="B146" i="7"/>
  <c r="E145" i="7"/>
  <c r="I145" i="7" s="1"/>
  <c r="E187" i="7"/>
  <c r="D187" i="7"/>
  <c r="B188" i="7"/>
  <c r="B100" i="1"/>
  <c r="B72" i="1"/>
  <c r="B143" i="1"/>
  <c r="B129" i="1"/>
  <c r="B115" i="1"/>
  <c r="B86" i="1"/>
  <c r="I14" i="1"/>
  <c r="F127" i="1"/>
  <c r="G127" i="1" s="1"/>
  <c r="C155" i="1"/>
  <c r="B157" i="1" s="1"/>
  <c r="A140" i="1"/>
  <c r="B140" i="1" s="1"/>
  <c r="C142" i="1" s="1"/>
  <c r="B13" i="1"/>
  <c r="B58" i="1"/>
  <c r="B44" i="1"/>
  <c r="B31" i="1"/>
  <c r="P4" i="7" l="1"/>
  <c r="O13" i="7"/>
  <c r="S13" i="7"/>
  <c r="T4" i="7"/>
  <c r="E132" i="7"/>
  <c r="I132" i="7" s="1"/>
  <c r="D132" i="7"/>
  <c r="H132" i="7" s="1"/>
  <c r="B133" i="7"/>
  <c r="B119" i="7"/>
  <c r="E118" i="7"/>
  <c r="I118" i="7" s="1"/>
  <c r="D118" i="7"/>
  <c r="H118" i="7" s="1"/>
  <c r="E62" i="7"/>
  <c r="I62" i="7" s="1"/>
  <c r="K50" i="7" s="1"/>
  <c r="Q14" i="7" s="1"/>
  <c r="R14" i="7" s="1"/>
  <c r="D62" i="7"/>
  <c r="H62" i="7" s="1"/>
  <c r="J50" i="7" s="1"/>
  <c r="M14" i="7" s="1"/>
  <c r="N14" i="7" s="1"/>
  <c r="E146" i="7"/>
  <c r="I146" i="7" s="1"/>
  <c r="D146" i="7"/>
  <c r="H146" i="7" s="1"/>
  <c r="B147" i="7"/>
  <c r="B161" i="7"/>
  <c r="E160" i="7"/>
  <c r="I160" i="7" s="1"/>
  <c r="D160" i="7"/>
  <c r="H160" i="7" s="1"/>
  <c r="H187" i="7"/>
  <c r="I187" i="7"/>
  <c r="D104" i="7"/>
  <c r="H104" i="7" s="1"/>
  <c r="B105" i="7"/>
  <c r="E104" i="7"/>
  <c r="I104" i="7" s="1"/>
  <c r="E76" i="7"/>
  <c r="I76" i="7" s="1"/>
  <c r="D76" i="7"/>
  <c r="H76" i="7" s="1"/>
  <c r="B77" i="7"/>
  <c r="E188" i="7"/>
  <c r="I188" i="7" s="1"/>
  <c r="D188" i="7"/>
  <c r="H188" i="7" s="1"/>
  <c r="B189" i="7"/>
  <c r="D90" i="7"/>
  <c r="H90" i="7" s="1"/>
  <c r="E90" i="7"/>
  <c r="I90" i="7" s="1"/>
  <c r="B91" i="7"/>
  <c r="E174" i="7"/>
  <c r="I174" i="7" s="1"/>
  <c r="B175" i="7"/>
  <c r="D174" i="7"/>
  <c r="H174" i="7" s="1"/>
  <c r="B158" i="1"/>
  <c r="B116" i="1"/>
  <c r="B73" i="1"/>
  <c r="B87" i="1"/>
  <c r="B130" i="1"/>
  <c r="B144" i="1"/>
  <c r="B101" i="1"/>
  <c r="C170" i="1"/>
  <c r="B172" i="1" s="1"/>
  <c r="A155" i="1"/>
  <c r="B155" i="1" s="1"/>
  <c r="C157" i="1" s="1"/>
  <c r="F157" i="1" s="1"/>
  <c r="G157" i="1" s="1"/>
  <c r="F142" i="1"/>
  <c r="G142" i="1" s="1"/>
  <c r="C152" i="1"/>
  <c r="B14" i="1"/>
  <c r="B45" i="1"/>
  <c r="B59" i="1"/>
  <c r="B32" i="1"/>
  <c r="K13" i="7" l="1"/>
  <c r="L4" i="7"/>
  <c r="P5" i="7"/>
  <c r="O14" i="7"/>
  <c r="S14" i="7"/>
  <c r="T5" i="7"/>
  <c r="E133" i="7"/>
  <c r="I133" i="7" s="1"/>
  <c r="B134" i="7"/>
  <c r="D133" i="7"/>
  <c r="H133" i="7" s="1"/>
  <c r="E91" i="7"/>
  <c r="I91" i="7" s="1"/>
  <c r="D91" i="7"/>
  <c r="H91" i="7" s="1"/>
  <c r="B92" i="7"/>
  <c r="E77" i="7"/>
  <c r="I77" i="7" s="1"/>
  <c r="K65" i="7" s="1"/>
  <c r="Q3" i="7" s="1"/>
  <c r="R3" i="7" s="1"/>
  <c r="D77" i="7"/>
  <c r="H77" i="7" s="1"/>
  <c r="J65" i="7" s="1"/>
  <c r="D161" i="7"/>
  <c r="H161" i="7" s="1"/>
  <c r="B162" i="7"/>
  <c r="E161" i="7"/>
  <c r="I161" i="7" s="1"/>
  <c r="D175" i="7"/>
  <c r="H175" i="7" s="1"/>
  <c r="B176" i="7"/>
  <c r="E175" i="7"/>
  <c r="I175" i="7" s="1"/>
  <c r="B190" i="7"/>
  <c r="E189" i="7"/>
  <c r="I189" i="7" s="1"/>
  <c r="D189" i="7"/>
  <c r="H189" i="7" s="1"/>
  <c r="E147" i="7"/>
  <c r="I147" i="7" s="1"/>
  <c r="D147" i="7"/>
  <c r="H147" i="7" s="1"/>
  <c r="B148" i="7"/>
  <c r="E105" i="7"/>
  <c r="I105" i="7" s="1"/>
  <c r="D105" i="7"/>
  <c r="H105" i="7" s="1"/>
  <c r="B106" i="7"/>
  <c r="B120" i="7"/>
  <c r="E119" i="7"/>
  <c r="I119" i="7" s="1"/>
  <c r="D119" i="7"/>
  <c r="H119" i="7" s="1"/>
  <c r="E54" i="1"/>
  <c r="I54" i="1" s="1"/>
  <c r="E70" i="1"/>
  <c r="I70" i="1" s="1"/>
  <c r="E52" i="1"/>
  <c r="I52" i="1" s="1"/>
  <c r="D69" i="1"/>
  <c r="E100" i="1"/>
  <c r="I100" i="1" s="1"/>
  <c r="D84" i="1"/>
  <c r="H84" i="1" s="1"/>
  <c r="D143" i="1"/>
  <c r="H143" i="1" s="1"/>
  <c r="E58" i="1"/>
  <c r="I58" i="1" s="1"/>
  <c r="B131" i="1"/>
  <c r="E130" i="1"/>
  <c r="I130" i="1" s="1"/>
  <c r="D130" i="1"/>
  <c r="H130" i="1" s="1"/>
  <c r="D99" i="1"/>
  <c r="H99" i="1" s="1"/>
  <c r="D54" i="1"/>
  <c r="H54" i="1" s="1"/>
  <c r="D44" i="1"/>
  <c r="H44" i="1" s="1"/>
  <c r="D72" i="1"/>
  <c r="H72" i="1" s="1"/>
  <c r="B117" i="1"/>
  <c r="E116" i="1"/>
  <c r="I116" i="1" s="1"/>
  <c r="D116" i="1"/>
  <c r="D40" i="1"/>
  <c r="D58" i="1"/>
  <c r="H58" i="1" s="1"/>
  <c r="E27" i="1"/>
  <c r="I27" i="1" s="1"/>
  <c r="E83" i="1"/>
  <c r="I83" i="1" s="1"/>
  <c r="D127" i="1"/>
  <c r="H127" i="1" s="1"/>
  <c r="E44" i="1"/>
  <c r="I44" i="1" s="1"/>
  <c r="E72" i="1"/>
  <c r="I72" i="1" s="1"/>
  <c r="D26" i="1"/>
  <c r="H26" i="1" s="1"/>
  <c r="E22" i="1"/>
  <c r="I22" i="1" s="1"/>
  <c r="D22" i="1"/>
  <c r="H22" i="1" s="1"/>
  <c r="D38" i="1"/>
  <c r="H38" i="1" s="1"/>
  <c r="D37" i="1"/>
  <c r="H37" i="1" s="1"/>
  <c r="D23" i="1"/>
  <c r="H23" i="1" s="1"/>
  <c r="E37" i="1"/>
  <c r="I37" i="1" s="1"/>
  <c r="E23" i="1"/>
  <c r="I23" i="1" s="1"/>
  <c r="D67" i="1"/>
  <c r="D24" i="1"/>
  <c r="H24" i="1" s="1"/>
  <c r="E24" i="1"/>
  <c r="I24" i="1" s="1"/>
  <c r="E25" i="1"/>
  <c r="I25" i="1" s="1"/>
  <c r="E69" i="1"/>
  <c r="I69" i="1" s="1"/>
  <c r="E30" i="1"/>
  <c r="I30" i="1" s="1"/>
  <c r="E38" i="1"/>
  <c r="I38" i="1" s="1"/>
  <c r="D68" i="1"/>
  <c r="H68" i="1" s="1"/>
  <c r="E29" i="1"/>
  <c r="I29" i="1" s="1"/>
  <c r="E26" i="1"/>
  <c r="I26" i="1" s="1"/>
  <c r="D98" i="1"/>
  <c r="H98" i="1" s="1"/>
  <c r="E42" i="1"/>
  <c r="I42" i="1" s="1"/>
  <c r="E67" i="1"/>
  <c r="I67" i="1" s="1"/>
  <c r="D25" i="1"/>
  <c r="H25" i="1" s="1"/>
  <c r="E85" i="1"/>
  <c r="I85" i="1" s="1"/>
  <c r="D85" i="1"/>
  <c r="H85" i="1" s="1"/>
  <c r="E53" i="1"/>
  <c r="I53" i="1" s="1"/>
  <c r="E39" i="1"/>
  <c r="I39" i="1" s="1"/>
  <c r="D114" i="1"/>
  <c r="H114" i="1" s="1"/>
  <c r="D27" i="1"/>
  <c r="H27" i="1" s="1"/>
  <c r="D29" i="1"/>
  <c r="H29" i="1" s="1"/>
  <c r="D30" i="1"/>
  <c r="H30" i="1" s="1"/>
  <c r="D100" i="1"/>
  <c r="H100" i="1" s="1"/>
  <c r="E112" i="1"/>
  <c r="I112" i="1" s="1"/>
  <c r="E84" i="1"/>
  <c r="I84" i="1" s="1"/>
  <c r="D142" i="1"/>
  <c r="H142" i="1" s="1"/>
  <c r="D128" i="1"/>
  <c r="H128" i="1" s="1"/>
  <c r="D97" i="1"/>
  <c r="H97" i="1" s="1"/>
  <c r="E73" i="1"/>
  <c r="I73" i="1" s="1"/>
  <c r="D73" i="1"/>
  <c r="H73" i="1" s="1"/>
  <c r="B74" i="1"/>
  <c r="D157" i="1"/>
  <c r="H157" i="1" s="1"/>
  <c r="D71" i="1"/>
  <c r="H71" i="1" s="1"/>
  <c r="E32" i="1"/>
  <c r="I32" i="1" s="1"/>
  <c r="D32" i="1"/>
  <c r="H32" i="1" s="1"/>
  <c r="D42" i="1"/>
  <c r="H42" i="1" s="1"/>
  <c r="E99" i="1"/>
  <c r="I99" i="1" s="1"/>
  <c r="D39" i="1"/>
  <c r="H39" i="1" s="1"/>
  <c r="E128" i="1"/>
  <c r="I128" i="1" s="1"/>
  <c r="D52" i="1"/>
  <c r="H52" i="1" s="1"/>
  <c r="E40" i="1"/>
  <c r="I40" i="1" s="1"/>
  <c r="E82" i="1"/>
  <c r="I82" i="1" s="1"/>
  <c r="E157" i="1"/>
  <c r="I157" i="1" s="1"/>
  <c r="D28" i="1"/>
  <c r="H28" i="1" s="1"/>
  <c r="B102" i="1"/>
  <c r="E101" i="1"/>
  <c r="I101" i="1" s="1"/>
  <c r="D101" i="1"/>
  <c r="H101" i="1" s="1"/>
  <c r="E43" i="1"/>
  <c r="I43" i="1" s="1"/>
  <c r="E127" i="1"/>
  <c r="I127" i="1" s="1"/>
  <c r="D43" i="1"/>
  <c r="H43" i="1" s="1"/>
  <c r="D55" i="1"/>
  <c r="H55" i="1" s="1"/>
  <c r="D57" i="1"/>
  <c r="H57" i="1" s="1"/>
  <c r="D56" i="1"/>
  <c r="H56" i="1" s="1"/>
  <c r="D113" i="1"/>
  <c r="H113" i="1" s="1"/>
  <c r="B159" i="1"/>
  <c r="D158" i="1"/>
  <c r="H158" i="1" s="1"/>
  <c r="E158" i="1"/>
  <c r="I158" i="1" s="1"/>
  <c r="E55" i="1"/>
  <c r="I55" i="1" s="1"/>
  <c r="E142" i="1"/>
  <c r="I142" i="1" s="1"/>
  <c r="D31" i="1"/>
  <c r="H31" i="1" s="1"/>
  <c r="E57" i="1"/>
  <c r="I57" i="1" s="1"/>
  <c r="D86" i="1"/>
  <c r="H86" i="1" s="1"/>
  <c r="E56" i="1"/>
  <c r="I56" i="1" s="1"/>
  <c r="E113" i="1"/>
  <c r="I113" i="1" s="1"/>
  <c r="D41" i="1"/>
  <c r="H41" i="1" s="1"/>
  <c r="D112" i="1"/>
  <c r="H112" i="1" s="1"/>
  <c r="D83" i="1"/>
  <c r="H83" i="1" s="1"/>
  <c r="D129" i="1"/>
  <c r="H129" i="1" s="1"/>
  <c r="E31" i="1"/>
  <c r="I31" i="1" s="1"/>
  <c r="E68" i="1"/>
  <c r="I68" i="1" s="1"/>
  <c r="E86" i="1"/>
  <c r="I86" i="1" s="1"/>
  <c r="E28" i="1"/>
  <c r="I28" i="1" s="1"/>
  <c r="D115" i="1"/>
  <c r="H115" i="1" s="1"/>
  <c r="E71" i="1"/>
  <c r="I71" i="1" s="1"/>
  <c r="E114" i="1"/>
  <c r="I114" i="1" s="1"/>
  <c r="D59" i="1"/>
  <c r="H59" i="1" s="1"/>
  <c r="E59" i="1"/>
  <c r="I59" i="1" s="1"/>
  <c r="E143" i="1"/>
  <c r="I143" i="1" s="1"/>
  <c r="E45" i="1"/>
  <c r="I45" i="1" s="1"/>
  <c r="D45" i="1"/>
  <c r="H45" i="1" s="1"/>
  <c r="B173" i="1"/>
  <c r="D173" i="1" s="1"/>
  <c r="H173" i="1" s="1"/>
  <c r="E172" i="1"/>
  <c r="B145" i="1"/>
  <c r="E144" i="1"/>
  <c r="I144" i="1" s="1"/>
  <c r="D144" i="1"/>
  <c r="H144" i="1" s="1"/>
  <c r="D53" i="1"/>
  <c r="H53" i="1" s="1"/>
  <c r="E129" i="1"/>
  <c r="I129" i="1" s="1"/>
  <c r="E97" i="1"/>
  <c r="I97" i="1" s="1"/>
  <c r="D82" i="1"/>
  <c r="H82" i="1" s="1"/>
  <c r="B88" i="1"/>
  <c r="E87" i="1"/>
  <c r="I87" i="1" s="1"/>
  <c r="D87" i="1"/>
  <c r="H87" i="1" s="1"/>
  <c r="D70" i="1"/>
  <c r="H70" i="1" s="1"/>
  <c r="E115" i="1"/>
  <c r="I115" i="1" s="1"/>
  <c r="E41" i="1"/>
  <c r="I41" i="1" s="1"/>
  <c r="E98" i="1"/>
  <c r="I98" i="1" s="1"/>
  <c r="C167" i="1"/>
  <c r="C185" i="1"/>
  <c r="A185" i="1" s="1"/>
  <c r="B185" i="1" s="1"/>
  <c r="C187" i="1" s="1"/>
  <c r="A170" i="1"/>
  <c r="B170" i="1" s="1"/>
  <c r="C172" i="1" s="1"/>
  <c r="H40" i="1"/>
  <c r="H116" i="1"/>
  <c r="H67" i="1"/>
  <c r="H69" i="1"/>
  <c r="D172" i="1"/>
  <c r="B60" i="1"/>
  <c r="B46" i="1"/>
  <c r="M3" i="7" l="1"/>
  <c r="N3" i="7" s="1"/>
  <c r="K14" i="7"/>
  <c r="L5" i="7"/>
  <c r="T6" i="7"/>
  <c r="S3" i="7"/>
  <c r="D134" i="7"/>
  <c r="H134" i="7" s="1"/>
  <c r="B135" i="7"/>
  <c r="E134" i="7"/>
  <c r="I134" i="7" s="1"/>
  <c r="D120" i="7"/>
  <c r="H120" i="7" s="1"/>
  <c r="B121" i="7"/>
  <c r="E120" i="7"/>
  <c r="I120" i="7" s="1"/>
  <c r="E176" i="7"/>
  <c r="I176" i="7" s="1"/>
  <c r="D176" i="7"/>
  <c r="H176" i="7" s="1"/>
  <c r="B177" i="7"/>
  <c r="E92" i="7"/>
  <c r="I92" i="7" s="1"/>
  <c r="K80" i="7" s="1"/>
  <c r="Q4" i="7" s="1"/>
  <c r="R4" i="7" s="1"/>
  <c r="D92" i="7"/>
  <c r="H92" i="7" s="1"/>
  <c r="J80" i="7" s="1"/>
  <c r="M4" i="7" s="1"/>
  <c r="N4" i="7" s="1"/>
  <c r="E106" i="7"/>
  <c r="I106" i="7" s="1"/>
  <c r="D106" i="7"/>
  <c r="H106" i="7" s="1"/>
  <c r="B107" i="7"/>
  <c r="B191" i="7"/>
  <c r="E190" i="7"/>
  <c r="I190" i="7" s="1"/>
  <c r="D190" i="7"/>
  <c r="H190" i="7" s="1"/>
  <c r="E162" i="7"/>
  <c r="I162" i="7" s="1"/>
  <c r="D162" i="7"/>
  <c r="H162" i="7" s="1"/>
  <c r="B163" i="7"/>
  <c r="B149" i="7"/>
  <c r="E148" i="7"/>
  <c r="I148" i="7" s="1"/>
  <c r="D148" i="7"/>
  <c r="H148" i="7" s="1"/>
  <c r="D46" i="1"/>
  <c r="H46" i="1" s="1"/>
  <c r="E46" i="1"/>
  <c r="I46" i="1" s="1"/>
  <c r="B89" i="1"/>
  <c r="E88" i="1"/>
  <c r="I88" i="1" s="1"/>
  <c r="D88" i="1"/>
  <c r="H88" i="1" s="1"/>
  <c r="E60" i="1"/>
  <c r="I60" i="1" s="1"/>
  <c r="D60" i="1"/>
  <c r="H60" i="1" s="1"/>
  <c r="B174" i="1"/>
  <c r="E173" i="1"/>
  <c r="I173" i="1" s="1"/>
  <c r="K20" i="1"/>
  <c r="B160" i="1"/>
  <c r="D159" i="1"/>
  <c r="H159" i="1" s="1"/>
  <c r="E159" i="1"/>
  <c r="I159" i="1" s="1"/>
  <c r="E74" i="1"/>
  <c r="I74" i="1" s="1"/>
  <c r="D74" i="1"/>
  <c r="H74" i="1" s="1"/>
  <c r="B75" i="1"/>
  <c r="B132" i="1"/>
  <c r="E131" i="1"/>
  <c r="I131" i="1" s="1"/>
  <c r="D131" i="1"/>
  <c r="H131" i="1" s="1"/>
  <c r="B146" i="1"/>
  <c r="E145" i="1"/>
  <c r="I145" i="1" s="1"/>
  <c r="D145" i="1"/>
  <c r="H145" i="1" s="1"/>
  <c r="B103" i="1"/>
  <c r="D102" i="1"/>
  <c r="H102" i="1" s="1"/>
  <c r="E102" i="1"/>
  <c r="I102" i="1" s="1"/>
  <c r="B118" i="1"/>
  <c r="E117" i="1"/>
  <c r="I117" i="1" s="1"/>
  <c r="D117" i="1"/>
  <c r="H117" i="1" s="1"/>
  <c r="B187" i="1"/>
  <c r="F187" i="1"/>
  <c r="G187" i="1" s="1"/>
  <c r="C197" i="1"/>
  <c r="C182" i="1"/>
  <c r="F172" i="1"/>
  <c r="G172" i="1" s="1"/>
  <c r="J20" i="1"/>
  <c r="B47" i="1"/>
  <c r="B61" i="1"/>
  <c r="P6" i="7" l="1"/>
  <c r="O3" i="7"/>
  <c r="L6" i="7"/>
  <c r="K3" i="7"/>
  <c r="S4" i="7"/>
  <c r="T7" i="7"/>
  <c r="P7" i="7"/>
  <c r="O4" i="7"/>
  <c r="E177" i="7"/>
  <c r="I177" i="7" s="1"/>
  <c r="D177" i="7"/>
  <c r="H177" i="7" s="1"/>
  <c r="B178" i="7"/>
  <c r="E135" i="7"/>
  <c r="I135" i="7" s="1"/>
  <c r="D135" i="7"/>
  <c r="H135" i="7" s="1"/>
  <c r="B136" i="7"/>
  <c r="D191" i="7"/>
  <c r="H191" i="7" s="1"/>
  <c r="E191" i="7"/>
  <c r="I191" i="7" s="1"/>
  <c r="B192" i="7"/>
  <c r="E107" i="7"/>
  <c r="I107" i="7" s="1"/>
  <c r="K95" i="7" s="1"/>
  <c r="Q5" i="7" s="1"/>
  <c r="R5" i="7" s="1"/>
  <c r="D107" i="7"/>
  <c r="H107" i="7" s="1"/>
  <c r="J95" i="7" s="1"/>
  <c r="M5" i="7" s="1"/>
  <c r="N5" i="7" s="1"/>
  <c r="B150" i="7"/>
  <c r="E149" i="7"/>
  <c r="I149" i="7" s="1"/>
  <c r="D149" i="7"/>
  <c r="H149" i="7" s="1"/>
  <c r="E121" i="7"/>
  <c r="I121" i="7" s="1"/>
  <c r="D121" i="7"/>
  <c r="H121" i="7" s="1"/>
  <c r="B122" i="7"/>
  <c r="E163" i="7"/>
  <c r="I163" i="7" s="1"/>
  <c r="B164" i="7"/>
  <c r="D163" i="7"/>
  <c r="H163" i="7" s="1"/>
  <c r="Q12" i="1"/>
  <c r="R12" i="1" s="1"/>
  <c r="M12" i="1"/>
  <c r="N12" i="1" s="1"/>
  <c r="E118" i="1"/>
  <c r="I118" i="1" s="1"/>
  <c r="D118" i="1"/>
  <c r="H118" i="1" s="1"/>
  <c r="B119" i="1"/>
  <c r="B104" i="1"/>
  <c r="D103" i="1"/>
  <c r="H103" i="1" s="1"/>
  <c r="E103" i="1"/>
  <c r="I103" i="1" s="1"/>
  <c r="E75" i="1"/>
  <c r="I75" i="1" s="1"/>
  <c r="D75" i="1"/>
  <c r="H75" i="1" s="1"/>
  <c r="B76" i="1"/>
  <c r="B188" i="1"/>
  <c r="D188" i="1" s="1"/>
  <c r="H188" i="1" s="1"/>
  <c r="E187" i="1"/>
  <c r="I187" i="1" s="1"/>
  <c r="D47" i="1"/>
  <c r="H47" i="1" s="1"/>
  <c r="J35" i="1" s="1"/>
  <c r="E47" i="1"/>
  <c r="I47" i="1" s="1"/>
  <c r="K35" i="1" s="1"/>
  <c r="Q13" i="1" s="1"/>
  <c r="R13" i="1" s="1"/>
  <c r="B147" i="1"/>
  <c r="D146" i="1"/>
  <c r="H146" i="1" s="1"/>
  <c r="E146" i="1"/>
  <c r="I146" i="1" s="1"/>
  <c r="E89" i="1"/>
  <c r="I89" i="1" s="1"/>
  <c r="D89" i="1"/>
  <c r="H89" i="1" s="1"/>
  <c r="B90" i="1"/>
  <c r="E61" i="1"/>
  <c r="I61" i="1" s="1"/>
  <c r="D61" i="1"/>
  <c r="H61" i="1" s="1"/>
  <c r="B175" i="1"/>
  <c r="E174" i="1"/>
  <c r="I174" i="1" s="1"/>
  <c r="D174" i="1"/>
  <c r="H174" i="1" s="1"/>
  <c r="B133" i="1"/>
  <c r="D132" i="1"/>
  <c r="H132" i="1" s="1"/>
  <c r="E132" i="1"/>
  <c r="I132" i="1" s="1"/>
  <c r="B161" i="1"/>
  <c r="E160" i="1"/>
  <c r="I160" i="1" s="1"/>
  <c r="D160" i="1"/>
  <c r="H160" i="1" s="1"/>
  <c r="H172" i="1"/>
  <c r="I172" i="1"/>
  <c r="D187" i="1"/>
  <c r="H187" i="1" s="1"/>
  <c r="B62" i="1"/>
  <c r="L7" i="7" l="1"/>
  <c r="K4" i="7"/>
  <c r="O5" i="7"/>
  <c r="P8" i="7"/>
  <c r="S5" i="7"/>
  <c r="T8" i="7"/>
  <c r="D150" i="7"/>
  <c r="H150" i="7" s="1"/>
  <c r="B151" i="7"/>
  <c r="E150" i="7"/>
  <c r="I150" i="7" s="1"/>
  <c r="B179" i="7"/>
  <c r="E178" i="7"/>
  <c r="I178" i="7" s="1"/>
  <c r="D178" i="7"/>
  <c r="H178" i="7" s="1"/>
  <c r="E122" i="7"/>
  <c r="I122" i="7" s="1"/>
  <c r="K110" i="7" s="1"/>
  <c r="Q6" i="7" s="1"/>
  <c r="R6" i="7" s="1"/>
  <c r="D122" i="7"/>
  <c r="H122" i="7" s="1"/>
  <c r="J110" i="7" s="1"/>
  <c r="M6" i="7" s="1"/>
  <c r="N6" i="7" s="1"/>
  <c r="E192" i="7"/>
  <c r="I192" i="7" s="1"/>
  <c r="D192" i="7"/>
  <c r="H192" i="7" s="1"/>
  <c r="B193" i="7"/>
  <c r="E136" i="7"/>
  <c r="I136" i="7" s="1"/>
  <c r="D136" i="7"/>
  <c r="H136" i="7" s="1"/>
  <c r="B137" i="7"/>
  <c r="D164" i="7"/>
  <c r="H164" i="7" s="1"/>
  <c r="B165" i="7"/>
  <c r="E164" i="7"/>
  <c r="I164" i="7" s="1"/>
  <c r="O12" i="1"/>
  <c r="P3" i="1"/>
  <c r="S13" i="1"/>
  <c r="T4" i="1"/>
  <c r="T3" i="1"/>
  <c r="S12" i="1"/>
  <c r="M13" i="1"/>
  <c r="N13" i="1" s="1"/>
  <c r="E62" i="1"/>
  <c r="I62" i="1" s="1"/>
  <c r="K50" i="1" s="1"/>
  <c r="Q14" i="1" s="1"/>
  <c r="R14" i="1" s="1"/>
  <c r="D62" i="1"/>
  <c r="H62" i="1" s="1"/>
  <c r="J50" i="1" s="1"/>
  <c r="D90" i="1"/>
  <c r="H90" i="1" s="1"/>
  <c r="E90" i="1"/>
  <c r="I90" i="1" s="1"/>
  <c r="B91" i="1"/>
  <c r="B105" i="1"/>
  <c r="E104" i="1"/>
  <c r="I104" i="1" s="1"/>
  <c r="D104" i="1"/>
  <c r="H104" i="1" s="1"/>
  <c r="B134" i="1"/>
  <c r="E133" i="1"/>
  <c r="I133" i="1" s="1"/>
  <c r="D133" i="1"/>
  <c r="H133" i="1" s="1"/>
  <c r="E119" i="1"/>
  <c r="I119" i="1" s="1"/>
  <c r="D119" i="1"/>
  <c r="H119" i="1" s="1"/>
  <c r="B120" i="1"/>
  <c r="B189" i="1"/>
  <c r="E188" i="1"/>
  <c r="I188" i="1" s="1"/>
  <c r="E76" i="1"/>
  <c r="I76" i="1" s="1"/>
  <c r="D76" i="1"/>
  <c r="H76" i="1" s="1"/>
  <c r="B77" i="1"/>
  <c r="B176" i="1"/>
  <c r="E175" i="1"/>
  <c r="I175" i="1" s="1"/>
  <c r="D175" i="1"/>
  <c r="H175" i="1" s="1"/>
  <c r="B162" i="1"/>
  <c r="E161" i="1"/>
  <c r="I161" i="1" s="1"/>
  <c r="D161" i="1"/>
  <c r="H161" i="1" s="1"/>
  <c r="B148" i="1"/>
  <c r="E147" i="1"/>
  <c r="I147" i="1" s="1"/>
  <c r="D147" i="1"/>
  <c r="H147" i="1" s="1"/>
  <c r="L8" i="7" l="1"/>
  <c r="K5" i="7"/>
  <c r="O6" i="7"/>
  <c r="P9" i="7"/>
  <c r="S6" i="7"/>
  <c r="T9" i="7"/>
  <c r="E165" i="7"/>
  <c r="I165" i="7" s="1"/>
  <c r="D165" i="7"/>
  <c r="H165" i="7" s="1"/>
  <c r="B166" i="7"/>
  <c r="E193" i="7"/>
  <c r="I193" i="7" s="1"/>
  <c r="B194" i="7"/>
  <c r="D193" i="7"/>
  <c r="H193" i="7" s="1"/>
  <c r="B180" i="7"/>
  <c r="E179" i="7"/>
  <c r="I179" i="7" s="1"/>
  <c r="D179" i="7"/>
  <c r="H179" i="7" s="1"/>
  <c r="E137" i="7"/>
  <c r="I137" i="7" s="1"/>
  <c r="K125" i="7" s="1"/>
  <c r="Q7" i="7" s="1"/>
  <c r="R7" i="7" s="1"/>
  <c r="D137" i="7"/>
  <c r="H137" i="7" s="1"/>
  <c r="J125" i="7" s="1"/>
  <c r="M7" i="7" s="1"/>
  <c r="N7" i="7" s="1"/>
  <c r="E151" i="7"/>
  <c r="I151" i="7" s="1"/>
  <c r="D151" i="7"/>
  <c r="H151" i="7" s="1"/>
  <c r="B152" i="7"/>
  <c r="O13" i="1"/>
  <c r="K13" i="1" s="1"/>
  <c r="P4" i="1"/>
  <c r="L4" i="1" s="1"/>
  <c r="T5" i="1"/>
  <c r="S14" i="1"/>
  <c r="L3" i="1"/>
  <c r="K12" i="1"/>
  <c r="M14" i="1"/>
  <c r="N14" i="1" s="1"/>
  <c r="D91" i="1"/>
  <c r="H91" i="1" s="1"/>
  <c r="E91" i="1"/>
  <c r="I91" i="1" s="1"/>
  <c r="B92" i="1"/>
  <c r="B163" i="1"/>
  <c r="E162" i="1"/>
  <c r="I162" i="1" s="1"/>
  <c r="D162" i="1"/>
  <c r="H162" i="1" s="1"/>
  <c r="B190" i="1"/>
  <c r="E189" i="1"/>
  <c r="I189" i="1" s="1"/>
  <c r="D189" i="1"/>
  <c r="H189" i="1" s="1"/>
  <c r="B135" i="1"/>
  <c r="D134" i="1"/>
  <c r="H134" i="1" s="1"/>
  <c r="E134" i="1"/>
  <c r="I134" i="1" s="1"/>
  <c r="B177" i="1"/>
  <c r="E176" i="1"/>
  <c r="I176" i="1" s="1"/>
  <c r="D176" i="1"/>
  <c r="H176" i="1" s="1"/>
  <c r="E120" i="1"/>
  <c r="I120" i="1" s="1"/>
  <c r="D120" i="1"/>
  <c r="H120" i="1" s="1"/>
  <c r="B121" i="1"/>
  <c r="B149" i="1"/>
  <c r="E148" i="1"/>
  <c r="I148" i="1" s="1"/>
  <c r="D148" i="1"/>
  <c r="H148" i="1" s="1"/>
  <c r="E77" i="1"/>
  <c r="I77" i="1" s="1"/>
  <c r="K65" i="1" s="1"/>
  <c r="Q3" i="1" s="1"/>
  <c r="R3" i="1" s="1"/>
  <c r="D77" i="1"/>
  <c r="H77" i="1" s="1"/>
  <c r="J65" i="1" s="1"/>
  <c r="E105" i="1"/>
  <c r="I105" i="1" s="1"/>
  <c r="D105" i="1"/>
  <c r="H105" i="1" s="1"/>
  <c r="B106" i="1"/>
  <c r="L9" i="7" l="1"/>
  <c r="K6" i="7"/>
  <c r="S7" i="7"/>
  <c r="T10" i="7"/>
  <c r="O7" i="7"/>
  <c r="P10" i="7"/>
  <c r="L10" i="7" s="1"/>
  <c r="E152" i="7"/>
  <c r="I152" i="7" s="1"/>
  <c r="K140" i="7" s="1"/>
  <c r="Q8" i="7" s="1"/>
  <c r="R8" i="7" s="1"/>
  <c r="D152" i="7"/>
  <c r="H152" i="7" s="1"/>
  <c r="J140" i="7" s="1"/>
  <c r="M8" i="7" s="1"/>
  <c r="N8" i="7" s="1"/>
  <c r="D180" i="7"/>
  <c r="H180" i="7" s="1"/>
  <c r="B181" i="7"/>
  <c r="E180" i="7"/>
  <c r="I180" i="7" s="1"/>
  <c r="E194" i="7"/>
  <c r="I194" i="7" s="1"/>
  <c r="D194" i="7"/>
  <c r="H194" i="7" s="1"/>
  <c r="B195" i="7"/>
  <c r="E166" i="7"/>
  <c r="I166" i="7" s="1"/>
  <c r="D166" i="7"/>
  <c r="H166" i="7" s="1"/>
  <c r="B167" i="7"/>
  <c r="O14" i="1"/>
  <c r="K14" i="1" s="1"/>
  <c r="P5" i="1"/>
  <c r="L5" i="1" s="1"/>
  <c r="T6" i="1"/>
  <c r="S3" i="1"/>
  <c r="M3" i="1"/>
  <c r="N3" i="1" s="1"/>
  <c r="B178" i="1"/>
  <c r="E177" i="1"/>
  <c r="I177" i="1" s="1"/>
  <c r="D177" i="1"/>
  <c r="H177" i="1" s="1"/>
  <c r="B164" i="1"/>
  <c r="E163" i="1"/>
  <c r="I163" i="1" s="1"/>
  <c r="D163" i="1"/>
  <c r="H163" i="1" s="1"/>
  <c r="E106" i="1"/>
  <c r="I106" i="1" s="1"/>
  <c r="D106" i="1"/>
  <c r="H106" i="1" s="1"/>
  <c r="B107" i="1"/>
  <c r="B150" i="1"/>
  <c r="E149" i="1"/>
  <c r="I149" i="1" s="1"/>
  <c r="D149" i="1"/>
  <c r="H149" i="1" s="1"/>
  <c r="E92" i="1"/>
  <c r="I92" i="1" s="1"/>
  <c r="K80" i="1" s="1"/>
  <c r="Q4" i="1" s="1"/>
  <c r="R4" i="1" s="1"/>
  <c r="D92" i="1"/>
  <c r="H92" i="1" s="1"/>
  <c r="J80" i="1" s="1"/>
  <c r="E121" i="1"/>
  <c r="I121" i="1" s="1"/>
  <c r="D121" i="1"/>
  <c r="H121" i="1" s="1"/>
  <c r="B122" i="1"/>
  <c r="B136" i="1"/>
  <c r="D135" i="1"/>
  <c r="H135" i="1" s="1"/>
  <c r="E135" i="1"/>
  <c r="I135" i="1" s="1"/>
  <c r="B191" i="1"/>
  <c r="E190" i="1"/>
  <c r="I190" i="1" s="1"/>
  <c r="D190" i="1"/>
  <c r="H190" i="1" s="1"/>
  <c r="K7" i="7" l="1"/>
  <c r="T11" i="7"/>
  <c r="S8" i="7"/>
  <c r="O8" i="7"/>
  <c r="P11" i="7"/>
  <c r="L11" i="7" s="1"/>
  <c r="E181" i="7"/>
  <c r="I181" i="7" s="1"/>
  <c r="D181" i="7"/>
  <c r="H181" i="7" s="1"/>
  <c r="B182" i="7"/>
  <c r="E195" i="7"/>
  <c r="I195" i="7" s="1"/>
  <c r="D195" i="7"/>
  <c r="H195" i="7" s="1"/>
  <c r="B196" i="7"/>
  <c r="E167" i="7"/>
  <c r="I167" i="7" s="1"/>
  <c r="K155" i="7" s="1"/>
  <c r="Q9" i="7" s="1"/>
  <c r="R9" i="7" s="1"/>
  <c r="D167" i="7"/>
  <c r="H167" i="7" s="1"/>
  <c r="J155" i="7" s="1"/>
  <c r="M9" i="7" s="1"/>
  <c r="N9" i="7" s="1"/>
  <c r="O3" i="1"/>
  <c r="K3" i="1" s="1"/>
  <c r="P6" i="1"/>
  <c r="L6" i="1" s="1"/>
  <c r="T7" i="1"/>
  <c r="S4" i="1"/>
  <c r="M4" i="1"/>
  <c r="N4" i="1" s="1"/>
  <c r="B151" i="1"/>
  <c r="E150" i="1"/>
  <c r="I150" i="1" s="1"/>
  <c r="D150" i="1"/>
  <c r="H150" i="1" s="1"/>
  <c r="E136" i="1"/>
  <c r="I136" i="1" s="1"/>
  <c r="D136" i="1"/>
  <c r="H136" i="1" s="1"/>
  <c r="B137" i="1"/>
  <c r="D122" i="1"/>
  <c r="H122" i="1" s="1"/>
  <c r="J110" i="1" s="1"/>
  <c r="E122" i="1"/>
  <c r="I122" i="1" s="1"/>
  <c r="K110" i="1" s="1"/>
  <c r="Q6" i="1" s="1"/>
  <c r="R6" i="1" s="1"/>
  <c r="E107" i="1"/>
  <c r="I107" i="1" s="1"/>
  <c r="K95" i="1" s="1"/>
  <c r="Q5" i="1" s="1"/>
  <c r="R5" i="1" s="1"/>
  <c r="D107" i="1"/>
  <c r="H107" i="1" s="1"/>
  <c r="J95" i="1" s="1"/>
  <c r="B179" i="1"/>
  <c r="E178" i="1"/>
  <c r="I178" i="1" s="1"/>
  <c r="D178" i="1"/>
  <c r="H178" i="1" s="1"/>
  <c r="B165" i="1"/>
  <c r="D164" i="1"/>
  <c r="H164" i="1" s="1"/>
  <c r="E164" i="1"/>
  <c r="I164" i="1" s="1"/>
  <c r="E191" i="1"/>
  <c r="I191" i="1" s="1"/>
  <c r="B192" i="1"/>
  <c r="D191" i="1"/>
  <c r="H191" i="1" s="1"/>
  <c r="K8" i="7" l="1"/>
  <c r="P12" i="7"/>
  <c r="O9" i="7"/>
  <c r="S9" i="7"/>
  <c r="T12" i="7"/>
  <c r="E196" i="7"/>
  <c r="I196" i="7" s="1"/>
  <c r="D196" i="7"/>
  <c r="H196" i="7" s="1"/>
  <c r="B197" i="7"/>
  <c r="E182" i="7"/>
  <c r="I182" i="7" s="1"/>
  <c r="K170" i="7" s="1"/>
  <c r="Q10" i="7" s="1"/>
  <c r="R10" i="7" s="1"/>
  <c r="D182" i="7"/>
  <c r="H182" i="7" s="1"/>
  <c r="J170" i="7" s="1"/>
  <c r="M10" i="7" s="1"/>
  <c r="N10" i="7" s="1"/>
  <c r="O4" i="1"/>
  <c r="K4" i="1" s="1"/>
  <c r="P7" i="1"/>
  <c r="L7" i="1" s="1"/>
  <c r="S6" i="1"/>
  <c r="T9" i="1"/>
  <c r="S5" i="1"/>
  <c r="T8" i="1"/>
  <c r="M6" i="1"/>
  <c r="N6" i="1" s="1"/>
  <c r="M5" i="1"/>
  <c r="N5" i="1" s="1"/>
  <c r="B166" i="1"/>
  <c r="E165" i="1"/>
  <c r="I165" i="1" s="1"/>
  <c r="D165" i="1"/>
  <c r="H165" i="1" s="1"/>
  <c r="E137" i="1"/>
  <c r="I137" i="1" s="1"/>
  <c r="K125" i="1" s="1"/>
  <c r="Q7" i="1" s="1"/>
  <c r="R7" i="1" s="1"/>
  <c r="D137" i="1"/>
  <c r="H137" i="1" s="1"/>
  <c r="J125" i="1" s="1"/>
  <c r="E192" i="1"/>
  <c r="I192" i="1" s="1"/>
  <c r="D192" i="1"/>
  <c r="H192" i="1" s="1"/>
  <c r="B193" i="1"/>
  <c r="B180" i="1"/>
  <c r="E179" i="1"/>
  <c r="I179" i="1" s="1"/>
  <c r="D179" i="1"/>
  <c r="H179" i="1" s="1"/>
  <c r="B152" i="1"/>
  <c r="E151" i="1"/>
  <c r="I151" i="1" s="1"/>
  <c r="D151" i="1"/>
  <c r="H151" i="1" s="1"/>
  <c r="K9" i="7" l="1"/>
  <c r="L12" i="7"/>
  <c r="P13" i="7"/>
  <c r="O10" i="7"/>
  <c r="S10" i="7"/>
  <c r="T13" i="7"/>
  <c r="E197" i="7"/>
  <c r="I197" i="7" s="1"/>
  <c r="K185" i="7" s="1"/>
  <c r="Q11" i="7" s="1"/>
  <c r="R11" i="7" s="1"/>
  <c r="D197" i="7"/>
  <c r="H197" i="7" s="1"/>
  <c r="J185" i="7" s="1"/>
  <c r="M11" i="7" s="1"/>
  <c r="N11" i="7" s="1"/>
  <c r="O5" i="1"/>
  <c r="P8" i="1"/>
  <c r="O6" i="1"/>
  <c r="K6" i="1" s="1"/>
  <c r="P9" i="1"/>
  <c r="L9" i="1" s="1"/>
  <c r="T10" i="1"/>
  <c r="S7" i="1"/>
  <c r="K5" i="1"/>
  <c r="L8" i="1"/>
  <c r="M7" i="1"/>
  <c r="N7" i="1" s="1"/>
  <c r="E193" i="1"/>
  <c r="I193" i="1" s="1"/>
  <c r="B194" i="1"/>
  <c r="D193" i="1"/>
  <c r="H193" i="1" s="1"/>
  <c r="E152" i="1"/>
  <c r="I152" i="1" s="1"/>
  <c r="K140" i="1" s="1"/>
  <c r="Q8" i="1" s="1"/>
  <c r="R8" i="1" s="1"/>
  <c r="D152" i="1"/>
  <c r="H152" i="1" s="1"/>
  <c r="J140" i="1" s="1"/>
  <c r="B181" i="1"/>
  <c r="E180" i="1"/>
  <c r="I180" i="1" s="1"/>
  <c r="D180" i="1"/>
  <c r="H180" i="1" s="1"/>
  <c r="B167" i="1"/>
  <c r="D166" i="1"/>
  <c r="H166" i="1" s="1"/>
  <c r="E166" i="1"/>
  <c r="I166" i="1" s="1"/>
  <c r="K10" i="7" l="1"/>
  <c r="L13" i="7"/>
  <c r="O11" i="7"/>
  <c r="P14" i="7"/>
  <c r="T14" i="7"/>
  <c r="S11" i="7"/>
  <c r="O7" i="1"/>
  <c r="K7" i="1" s="1"/>
  <c r="P10" i="1"/>
  <c r="L10" i="1" s="1"/>
  <c r="S8" i="1"/>
  <c r="T11" i="1"/>
  <c r="M8" i="1"/>
  <c r="N8" i="1" s="1"/>
  <c r="B182" i="1"/>
  <c r="E181" i="1"/>
  <c r="I181" i="1" s="1"/>
  <c r="D181" i="1"/>
  <c r="H181" i="1" s="1"/>
  <c r="E194" i="1"/>
  <c r="I194" i="1" s="1"/>
  <c r="B195" i="1"/>
  <c r="D194" i="1"/>
  <c r="H194" i="1" s="1"/>
  <c r="D167" i="1"/>
  <c r="H167" i="1" s="1"/>
  <c r="J155" i="1" s="1"/>
  <c r="E167" i="1"/>
  <c r="I167" i="1" s="1"/>
  <c r="K155" i="1" s="1"/>
  <c r="Q9" i="1" s="1"/>
  <c r="R9" i="1" s="1"/>
  <c r="L14" i="7" l="1"/>
  <c r="K11" i="7"/>
  <c r="O8" i="1"/>
  <c r="K8" i="1" s="1"/>
  <c r="P11" i="1"/>
  <c r="L11" i="1" s="1"/>
  <c r="S9" i="1"/>
  <c r="T12" i="1"/>
  <c r="M9" i="1"/>
  <c r="N9" i="1" s="1"/>
  <c r="E195" i="1"/>
  <c r="I195" i="1" s="1"/>
  <c r="B196" i="1"/>
  <c r="D195" i="1"/>
  <c r="H195" i="1" s="1"/>
  <c r="E182" i="1"/>
  <c r="I182" i="1" s="1"/>
  <c r="K170" i="1" s="1"/>
  <c r="Q10" i="1" s="1"/>
  <c r="R10" i="1" s="1"/>
  <c r="D182" i="1"/>
  <c r="H182" i="1" s="1"/>
  <c r="J170" i="1" s="1"/>
  <c r="O9" i="1" l="1"/>
  <c r="K9" i="1" s="1"/>
  <c r="P12" i="1"/>
  <c r="L12" i="1" s="1"/>
  <c r="S10" i="1"/>
  <c r="T13" i="1"/>
  <c r="M10" i="1"/>
  <c r="N10" i="1" s="1"/>
  <c r="E196" i="1"/>
  <c r="I196" i="1" s="1"/>
  <c r="B197" i="1"/>
  <c r="D196" i="1"/>
  <c r="H196" i="1" s="1"/>
  <c r="O10" i="1" l="1"/>
  <c r="K10" i="1" s="1"/>
  <c r="P13" i="1"/>
  <c r="L13" i="1" s="1"/>
  <c r="D197" i="1"/>
  <c r="H197" i="1" s="1"/>
  <c r="J185" i="1" s="1"/>
  <c r="E197" i="1"/>
  <c r="I197" i="1" s="1"/>
  <c r="K185" i="1" s="1"/>
  <c r="Q11" i="1" s="1"/>
  <c r="R11" i="1" s="1"/>
  <c r="T14" i="1" l="1"/>
  <c r="S11" i="1"/>
  <c r="M11" i="1"/>
  <c r="N11" i="1" s="1"/>
  <c r="O11" i="1" l="1"/>
  <c r="K11" i="1" s="1"/>
  <c r="P14" i="1"/>
  <c r="L14" i="1" s="1"/>
</calcChain>
</file>

<file path=xl/sharedStrings.xml><?xml version="1.0" encoding="utf-8"?>
<sst xmlns="http://schemas.openxmlformats.org/spreadsheetml/2006/main" count="813" uniqueCount="88">
  <si>
    <t>Sone</t>
  </si>
  <si>
    <t>Fjord og Fjell</t>
  </si>
  <si>
    <t>Velg sone ved å klikke på ruta</t>
  </si>
  <si>
    <t xml:space="preserve">Basert på normal </t>
  </si>
  <si>
    <t>laktasjonskurve med</t>
  </si>
  <si>
    <t>60 dager sintid.</t>
  </si>
  <si>
    <t>Vis som</t>
  </si>
  <si>
    <t>antall</t>
  </si>
  <si>
    <t>kalvinger</t>
  </si>
  <si>
    <t>Antatt:</t>
  </si>
  <si>
    <t>Kalving er 1. i måneden</t>
  </si>
  <si>
    <t xml:space="preserve">Prisdifferensieringene er </t>
  </si>
  <si>
    <t>gjeldende fra 1/2026</t>
  </si>
  <si>
    <t>Leveranse</t>
  </si>
  <si>
    <r>
      <rPr>
        <b/>
        <sz val="12"/>
        <color rgb="FFFF0000"/>
        <rFont val="Calibri"/>
        <family val="2"/>
        <scheme val="minor"/>
      </rPr>
      <t>Hvordan bruke arket:</t>
    </r>
    <r>
      <rPr>
        <sz val="11"/>
        <color theme="1"/>
        <rFont val="Calibri"/>
        <family val="2"/>
        <scheme val="minor"/>
      </rPr>
      <t xml:space="preserve">
Velg først sone ved å klikke på ruten, og så legg inn forventet mjølkeleveranse. Du kan velge å legge inn leveranse pr ku, eller leveranse for hele besetningen.</t>
    </r>
  </si>
  <si>
    <t>Kviger mjølkerase (Født)×</t>
  </si>
  <si>
    <t>Antall</t>
  </si>
  <si>
    <t>Prosent</t>
  </si>
  <si>
    <t>Valgt</t>
  </si>
  <si>
    <t>Ind. nr</t>
  </si>
  <si>
    <t>Kategori</t>
  </si>
  <si>
    <t>Driftsgrein</t>
  </si>
  <si>
    <t>Rase</t>
  </si>
  <si>
    <t>Født dato</t>
  </si>
  <si>
    <t>Inn- kode</t>
  </si>
  <si>
    <t>Første fôrdag</t>
  </si>
  <si>
    <t>Ut- kode</t>
  </si>
  <si>
    <t>Siste fôrdag</t>
  </si>
  <si>
    <t>Slaktedato</t>
  </si>
  <si>
    <t>Slaktevekt (kg)</t>
  </si>
  <si>
    <t>Jan</t>
  </si>
  <si>
    <t>Ungdyr mjølkeraser</t>
  </si>
  <si>
    <t>Kvigeoppdrett</t>
  </si>
  <si>
    <t>NRF</t>
  </si>
  <si>
    <t>Som kalv</t>
  </si>
  <si>
    <t>Feb</t>
  </si>
  <si>
    <t>Mar</t>
  </si>
  <si>
    <t>prosent</t>
  </si>
  <si>
    <t>Apr</t>
  </si>
  <si>
    <t>Mai</t>
  </si>
  <si>
    <t>Jun</t>
  </si>
  <si>
    <t>Jul</t>
  </si>
  <si>
    <t>Aug</t>
  </si>
  <si>
    <t>Sep</t>
  </si>
  <si>
    <t>Okt</t>
  </si>
  <si>
    <t>Nov</t>
  </si>
  <si>
    <t>Okser mjølkerase (Født)×</t>
  </si>
  <si>
    <t>Des</t>
  </si>
  <si>
    <t>Okseoppdrett</t>
  </si>
  <si>
    <t>Landet</t>
  </si>
  <si>
    <t>Mjølkepris</t>
  </si>
  <si>
    <t>Kalvingstid</t>
  </si>
  <si>
    <t>Insemineringstid</t>
  </si>
  <si>
    <t>Avrundet</t>
  </si>
  <si>
    <t>Insem.tid</t>
  </si>
  <si>
    <t>Basispris variasjon</t>
  </si>
  <si>
    <t>Sone Ku</t>
  </si>
  <si>
    <t>Fjord og fjell</t>
  </si>
  <si>
    <t>Januar</t>
  </si>
  <si>
    <t>Februar</t>
  </si>
  <si>
    <t>Mars</t>
  </si>
  <si>
    <t>April</t>
  </si>
  <si>
    <t>Juni</t>
  </si>
  <si>
    <t>Juli</t>
  </si>
  <si>
    <t>August</t>
  </si>
  <si>
    <t>September</t>
  </si>
  <si>
    <t>Oktober</t>
  </si>
  <si>
    <t>November</t>
  </si>
  <si>
    <t>Sone:</t>
  </si>
  <si>
    <t>Desember</t>
  </si>
  <si>
    <t>Totalt</t>
  </si>
  <si>
    <t>1. leveransedag</t>
  </si>
  <si>
    <t>Kroner</t>
  </si>
  <si>
    <t>Dager</t>
  </si>
  <si>
    <t>Laktasjon</t>
  </si>
  <si>
    <t>Liter</t>
  </si>
  <si>
    <t>Ut første måned</t>
  </si>
  <si>
    <t>2. måned</t>
  </si>
  <si>
    <t>3. måned</t>
  </si>
  <si>
    <t>4. måned</t>
  </si>
  <si>
    <t>5. måned</t>
  </si>
  <si>
    <t>6. måned</t>
  </si>
  <si>
    <t>7. måned</t>
  </si>
  <si>
    <t>8. måned</t>
  </si>
  <si>
    <t>9. måned</t>
  </si>
  <si>
    <t>10. måned</t>
  </si>
  <si>
    <t>Event ut siste måned</t>
  </si>
  <si>
    <t>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</si>
</sst>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\ %"/>
    <numFmt numFmtId="166" formatCode="_-* #,##0_-;\-* #,##0_-;_-* &quot;-&quot;??_-;_-@_-"/>
    <numFmt numFmtId="167" formatCode="#,##0_ ;\-#,##0\ "/>
    <numFmt numFmtId="168" formatCode="&quot;kr&quot;\ 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0404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2" applyNumberFormat="1" applyFont="1"/>
    <xf numFmtId="14" fontId="0" fillId="2" borderId="0" xfId="0" applyNumberFormat="1" applyFill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168" fontId="0" fillId="0" borderId="0" xfId="0" applyNumberFormat="1"/>
    <xf numFmtId="168" fontId="0" fillId="0" borderId="0" xfId="1" applyNumberFormat="1" applyFont="1"/>
    <xf numFmtId="14" fontId="3" fillId="0" borderId="0" xfId="0" applyNumberFormat="1" applyFont="1"/>
    <xf numFmtId="0" fontId="5" fillId="0" borderId="0" xfId="0" applyFont="1"/>
    <xf numFmtId="166" fontId="5" fillId="0" borderId="0" xfId="0" applyNumberFormat="1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3" borderId="0" xfId="0" applyFont="1" applyFill="1" applyAlignment="1" applyProtection="1">
      <alignment horizontal="center"/>
      <protection locked="0"/>
    </xf>
    <xf numFmtId="167" fontId="2" fillId="3" borderId="0" xfId="1" applyNumberFormat="1" applyFont="1" applyFill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0" fillId="4" borderId="0" xfId="0" applyFill="1"/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0" fillId="4" borderId="0" xfId="0" applyFill="1" applyAlignment="1">
      <alignment wrapText="1"/>
    </xf>
    <xf numFmtId="0" fontId="0" fillId="4" borderId="1" xfId="0" applyFill="1" applyBorder="1"/>
    <xf numFmtId="0" fontId="0" fillId="4" borderId="7" xfId="0" applyFill="1" applyBorder="1"/>
    <xf numFmtId="0" fontId="3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2" xfId="0" applyFont="1" applyFill="1" applyBorder="1"/>
    <xf numFmtId="0" fontId="0" fillId="4" borderId="8" xfId="0" applyFill="1" applyBorder="1"/>
    <xf numFmtId="166" fontId="0" fillId="4" borderId="0" xfId="0" applyNumberFormat="1" applyFill="1"/>
    <xf numFmtId="0" fontId="9" fillId="4" borderId="0" xfId="0" applyFont="1" applyFill="1"/>
    <xf numFmtId="9" fontId="9" fillId="4" borderId="0" xfId="2" applyFont="1" applyFill="1" applyBorder="1"/>
    <xf numFmtId="0" fontId="9" fillId="4" borderId="9" xfId="0" applyFont="1" applyFill="1" applyBorder="1"/>
    <xf numFmtId="0" fontId="8" fillId="4" borderId="0" xfId="0" applyFont="1" applyFill="1"/>
    <xf numFmtId="0" fontId="0" fillId="4" borderId="3" xfId="0" applyFill="1" applyBorder="1"/>
    <xf numFmtId="0" fontId="0" fillId="4" borderId="10" xfId="0" applyFill="1" applyBorder="1"/>
    <xf numFmtId="0" fontId="3" fillId="4" borderId="10" xfId="0" applyFont="1" applyFill="1" applyBorder="1"/>
    <xf numFmtId="0" fontId="9" fillId="4" borderId="10" xfId="0" applyFont="1" applyFill="1" applyBorder="1"/>
    <xf numFmtId="0" fontId="8" fillId="4" borderId="10" xfId="0" applyFont="1" applyFill="1" applyBorder="1"/>
    <xf numFmtId="0" fontId="9" fillId="4" borderId="4" xfId="0" applyFont="1" applyFill="1" applyBorder="1"/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14" fontId="12" fillId="0" borderId="5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14" fontId="12" fillId="0" borderId="5" xfId="0" applyNumberFormat="1" applyFont="1" applyBorder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horizontal="left" vertical="center" wrapText="1"/>
      <protection locked="0"/>
    </xf>
    <xf numFmtId="14" fontId="12" fillId="4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Protection="1">
      <protection locked="0"/>
    </xf>
    <xf numFmtId="14" fontId="11" fillId="4" borderId="0" xfId="0" applyNumberFormat="1" applyFont="1" applyFill="1" applyProtection="1">
      <protection locked="0"/>
    </xf>
    <xf numFmtId="14" fontId="11" fillId="0" borderId="0" xfId="0" applyNumberFormat="1" applyFont="1" applyProtection="1">
      <protection locked="0"/>
    </xf>
    <xf numFmtId="14" fontId="12" fillId="0" borderId="6" xfId="0" applyNumberFormat="1" applyFont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0" fillId="4" borderId="0" xfId="0" applyFill="1" applyAlignment="1">
      <alignment vertical="center" wrapText="1"/>
    </xf>
    <xf numFmtId="0" fontId="15" fillId="4" borderId="0" xfId="0" applyFont="1" applyFill="1" applyAlignment="1">
      <alignment horizontal="center"/>
    </xf>
    <xf numFmtId="0" fontId="0" fillId="5" borderId="0" xfId="0" applyFill="1"/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mruColors>
      <color rgb="FF00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3600" b="1">
                <a:solidFill>
                  <a:sysClr val="windowText" lastClr="000000"/>
                </a:solidFill>
              </a:rPr>
              <a:t>Kalvingstid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6124438800961402E-2"/>
          <c:y val="0.11503070859129623"/>
          <c:w val="0.86391168956812248"/>
          <c:h val="0.8553706546052410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9-43A8-BBB3-ED0F3EFA68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59-43A8-BBB3-ED0F3EFA6804}"/>
              </c:ext>
            </c:extLst>
          </c:dPt>
          <c:dPt>
            <c:idx val="2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59-43A8-BBB3-ED0F3EFA6804}"/>
              </c:ext>
            </c:extLst>
          </c:dPt>
          <c:dPt>
            <c:idx val="3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59-43A8-BBB3-ED0F3EFA6804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59-43A8-BBB3-ED0F3EFA6804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59-43A8-BBB3-ED0F3EFA6804}"/>
              </c:ext>
            </c:extLst>
          </c:dPt>
          <c:dPt>
            <c:idx val="6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59-43A8-BBB3-ED0F3EFA6804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59-43A8-BBB3-ED0F3EFA6804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59-43A8-BBB3-ED0F3EFA6804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59-43A8-BBB3-ED0F3EFA6804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59-43A8-BBB3-ED0F3EFA6804}"/>
              </c:ext>
            </c:extLst>
          </c:dPt>
          <c:dPt>
            <c:idx val="11"/>
            <c:bubble3D val="0"/>
            <c:spPr>
              <a:solidFill>
                <a:srgbClr val="FFFF33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59-43A8-BBB3-ED0F3EFA6804}"/>
              </c:ext>
            </c:extLst>
          </c:dPt>
          <c:dLbls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(per liter)'!$K$3:$K$14</c:f>
              <c:strCache>
                <c:ptCount val="12"/>
                <c:pt idx="0">
                  <c:v>Jan  25 øre</c:v>
                </c:pt>
                <c:pt idx="1">
                  <c:v>Feb  35 øre</c:v>
                </c:pt>
                <c:pt idx="2">
                  <c:v>Mar  46 øre</c:v>
                </c:pt>
                <c:pt idx="3">
                  <c:v>Apr  56 øre</c:v>
                </c:pt>
                <c:pt idx="4">
                  <c:v>Mai  66 øre</c:v>
                </c:pt>
                <c:pt idx="5">
                  <c:v>Jun  68 øre</c:v>
                </c:pt>
                <c:pt idx="6">
                  <c:v>Jul  52 øre</c:v>
                </c:pt>
                <c:pt idx="7">
                  <c:v>Aug  28 øre</c:v>
                </c:pt>
                <c:pt idx="8">
                  <c:v>Sep  10 øre</c:v>
                </c:pt>
                <c:pt idx="9">
                  <c:v>Okt  0 øre</c:v>
                </c:pt>
                <c:pt idx="10">
                  <c:v>Nov  8 øre</c:v>
                </c:pt>
                <c:pt idx="11">
                  <c:v>Des  18 øre</c:v>
                </c:pt>
              </c:strCache>
            </c:strRef>
          </c:cat>
          <c:val>
            <c:numRef>
              <c:f>'Data (per liter)'!$U$3:$U$14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159-43A8-BBB3-ED0F3EFA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3600" b="1">
                <a:solidFill>
                  <a:sysClr val="windowText" lastClr="000000"/>
                </a:solidFill>
                <a:effectLst/>
              </a:rPr>
              <a:t>Insemineringstid</a:t>
            </a:r>
            <a:endParaRPr lang="nb-NO">
              <a:solidFill>
                <a:sysClr val="windowText" lastClr="000000"/>
              </a:solidFill>
              <a:effectLst/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7.6001033316875799E-2"/>
          <c:y val="0.11697847058682892"/>
          <c:w val="0.85378414338501796"/>
          <c:h val="0.8400543016986838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19-4920-BE43-83DA6151559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19-4920-BE43-83DA6151559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19-4920-BE43-83DA6151559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19-4920-BE43-83DA61515598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19-4920-BE43-83DA61515598}"/>
              </c:ext>
            </c:extLst>
          </c:dPt>
          <c:dPt>
            <c:idx val="5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19-4920-BE43-83DA61515598}"/>
              </c:ext>
            </c:extLst>
          </c:dPt>
          <c:dPt>
            <c:idx val="6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19-4920-BE43-83DA61515598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19-4920-BE43-83DA61515598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319-4920-BE43-83DA61515598}"/>
              </c:ext>
            </c:extLst>
          </c:dPt>
          <c:dPt>
            <c:idx val="9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319-4920-BE43-83DA6151559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319-4920-BE43-83DA61515598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319-4920-BE43-83DA61515598}"/>
              </c:ext>
            </c:extLst>
          </c:dPt>
          <c:dLbls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(per liter)'!$L$3:$L$14</c:f>
              <c:strCache>
                <c:ptCount val="12"/>
                <c:pt idx="0">
                  <c:v>Jan  0 øre</c:v>
                </c:pt>
                <c:pt idx="1">
                  <c:v>Feb  8 øre</c:v>
                </c:pt>
                <c:pt idx="2">
                  <c:v>Mar  18 øre</c:v>
                </c:pt>
                <c:pt idx="3">
                  <c:v>Apr  25 øre</c:v>
                </c:pt>
                <c:pt idx="4">
                  <c:v>Mai  35 øre</c:v>
                </c:pt>
                <c:pt idx="5">
                  <c:v>Jun  46 øre</c:v>
                </c:pt>
                <c:pt idx="6">
                  <c:v>Jul  56 øre</c:v>
                </c:pt>
                <c:pt idx="7">
                  <c:v>Aug  66 øre</c:v>
                </c:pt>
                <c:pt idx="8">
                  <c:v>Sep  68 øre</c:v>
                </c:pt>
                <c:pt idx="9">
                  <c:v>Okt  52 øre</c:v>
                </c:pt>
                <c:pt idx="10">
                  <c:v>Nov  28 øre</c:v>
                </c:pt>
                <c:pt idx="11">
                  <c:v>Des  10 øre</c:v>
                </c:pt>
              </c:strCache>
            </c:strRef>
          </c:cat>
          <c:val>
            <c:numRef>
              <c:f>'Data (per liter)'!$U$3:$U$14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19-4920-BE43-83DA6151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>
                <a:solidFill>
                  <a:sysClr val="windowText" lastClr="000000"/>
                </a:solidFill>
              </a:rPr>
              <a:t>Kalvinger hos produsent siste 12 mnd</a:t>
            </a:r>
            <a:endParaRPr lang="nb-NO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6124438800961402E-2"/>
          <c:y val="0.11503070859129623"/>
          <c:w val="0.86391168956812248"/>
          <c:h val="0.8553706546052410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F-4EC4-A7FB-ADDB07E3F6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0F-4EC4-A7FB-ADDB07E3F6FE}"/>
              </c:ext>
            </c:extLst>
          </c:dPt>
          <c:dPt>
            <c:idx val="2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0F-4EC4-A7FB-ADDB07E3F6FE}"/>
              </c:ext>
            </c:extLst>
          </c:dPt>
          <c:dPt>
            <c:idx val="3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0F-4EC4-A7FB-ADDB07E3F6FE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0F-4EC4-A7FB-ADDB07E3F6FE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0F-4EC4-A7FB-ADDB07E3F6FE}"/>
              </c:ext>
            </c:extLst>
          </c:dPt>
          <c:dPt>
            <c:idx val="6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0F-4EC4-A7FB-ADDB07E3F6FE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0F-4EC4-A7FB-ADDB07E3F6F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0F-4EC4-A7FB-ADDB07E3F6FE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0F-4EC4-A7FB-ADDB07E3F6FE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0F-4EC4-A7FB-ADDB07E3F6FE}"/>
              </c:ext>
            </c:extLst>
          </c:dPt>
          <c:dPt>
            <c:idx val="1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0F-4EC4-A7FB-ADDB07E3F6F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'Antall kalvinger hos produsent'!$T$2:$T$13</c:f>
              <c:strCache>
                <c:ptCount val="12"/>
                <c:pt idx="0">
                  <c:v>Jan 1</c:v>
                </c:pt>
                <c:pt idx="1">
                  <c:v>Feb  -</c:v>
                </c:pt>
                <c:pt idx="2">
                  <c:v>Mar  -</c:v>
                </c:pt>
                <c:pt idx="3">
                  <c:v>Apr  -</c:v>
                </c:pt>
                <c:pt idx="4">
                  <c:v>Mai  -</c:v>
                </c:pt>
                <c:pt idx="5">
                  <c:v>Jun  -</c:v>
                </c:pt>
                <c:pt idx="6">
                  <c:v>Jul  -</c:v>
                </c:pt>
                <c:pt idx="7">
                  <c:v>Aug  -</c:v>
                </c:pt>
                <c:pt idx="8">
                  <c:v>Sep 11</c:v>
                </c:pt>
                <c:pt idx="9">
                  <c:v>Okt 3</c:v>
                </c:pt>
                <c:pt idx="10">
                  <c:v>Nov 1</c:v>
                </c:pt>
                <c:pt idx="11">
                  <c:v>Des  -</c:v>
                </c:pt>
              </c:strCache>
            </c:strRef>
          </c:cat>
          <c:val>
            <c:numRef>
              <c:f>'Antall kalvinger hos produsent'!$U$2:$U$13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50F-4EC4-A7FB-ADDB07E3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3600" b="1">
                <a:solidFill>
                  <a:sysClr val="windowText" lastClr="000000"/>
                </a:solidFill>
              </a:rPr>
              <a:t>Kalvingstid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6124438800961402E-2"/>
          <c:y val="0.11503070859129623"/>
          <c:w val="0.86391168956812248"/>
          <c:h val="0.8553706546052410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B-415A-9971-D74E885A3F2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B-415A-9971-D74E885A3F2D}"/>
              </c:ext>
            </c:extLst>
          </c:dPt>
          <c:dPt>
            <c:idx val="2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B-415A-9971-D74E885A3F2D}"/>
              </c:ext>
            </c:extLst>
          </c:dPt>
          <c:dPt>
            <c:idx val="3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B-415A-9971-D74E885A3F2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7B-415A-9971-D74E885A3F2D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17B-415A-9971-D74E885A3F2D}"/>
              </c:ext>
            </c:extLst>
          </c:dPt>
          <c:dPt>
            <c:idx val="6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B-415A-9971-D74E885A3F2D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17B-415A-9971-D74E885A3F2D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17B-415A-9971-D74E885A3F2D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17B-415A-9971-D74E885A3F2D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17B-415A-9971-D74E885A3F2D}"/>
              </c:ext>
            </c:extLst>
          </c:dPt>
          <c:dPt>
            <c:idx val="11"/>
            <c:bubble3D val="0"/>
            <c:spPr>
              <a:solidFill>
                <a:srgbClr val="FFFF33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17B-415A-9971-D74E885A3F2D}"/>
              </c:ext>
            </c:extLst>
          </c:dPt>
          <c:dLbls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Data!$K$3:$K$14</c:f>
              <c:strCache>
                <c:ptCount val="12"/>
                <c:pt idx="0">
                  <c:v>Jan 2 200,-</c:v>
                </c:pt>
                <c:pt idx="1">
                  <c:v>Feb 3 200,-</c:v>
                </c:pt>
                <c:pt idx="2">
                  <c:v>Mar 4 100,-</c:v>
                </c:pt>
                <c:pt idx="3">
                  <c:v>Apr 5 100,-</c:v>
                </c:pt>
                <c:pt idx="4">
                  <c:v>Mai 5 900,-</c:v>
                </c:pt>
                <c:pt idx="5">
                  <c:v>Jun 6 100,-</c:v>
                </c:pt>
                <c:pt idx="6">
                  <c:v>Jul 4 700,-</c:v>
                </c:pt>
                <c:pt idx="7">
                  <c:v>Aug 2 500,-</c:v>
                </c:pt>
                <c:pt idx="8">
                  <c:v>Sep 900,-</c:v>
                </c:pt>
                <c:pt idx="9">
                  <c:v>Okt 0,-</c:v>
                </c:pt>
                <c:pt idx="10">
                  <c:v>Nov 700,-</c:v>
                </c:pt>
                <c:pt idx="11">
                  <c:v>Des 1 600,-</c:v>
                </c:pt>
              </c:strCache>
            </c:strRef>
          </c:cat>
          <c:val>
            <c:numRef>
              <c:f>Data!$U$3:$U$14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17B-415A-9971-D74E885A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3600" b="1">
                <a:solidFill>
                  <a:sysClr val="windowText" lastClr="000000"/>
                </a:solidFill>
                <a:effectLst/>
              </a:rPr>
              <a:t>Insemineringstid</a:t>
            </a:r>
            <a:endParaRPr lang="nb-NO">
              <a:solidFill>
                <a:sysClr val="windowText" lastClr="000000"/>
              </a:solidFill>
              <a:effectLst/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7.6001033316875799E-2"/>
          <c:y val="0.11697847058682892"/>
          <c:w val="0.85378414338501796"/>
          <c:h val="0.8400543016986838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B-415A-9971-D74E885A3F2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B-415A-9971-D74E885A3F2D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B-415A-9971-D74E885A3F2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B-415A-9971-D74E885A3F2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7B-415A-9971-D74E885A3F2D}"/>
              </c:ext>
            </c:extLst>
          </c:dPt>
          <c:dPt>
            <c:idx val="5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17B-415A-9971-D74E885A3F2D}"/>
              </c:ext>
            </c:extLst>
          </c:dPt>
          <c:dPt>
            <c:idx val="6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B-415A-9971-D74E885A3F2D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17B-415A-9971-D74E885A3F2D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17B-415A-9971-D74E885A3F2D}"/>
              </c:ext>
            </c:extLst>
          </c:dPt>
          <c:dPt>
            <c:idx val="9"/>
            <c:bubble3D val="0"/>
            <c:spPr>
              <a:solidFill>
                <a:srgbClr val="00D05E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17B-415A-9971-D74E885A3F2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17B-415A-9971-D74E885A3F2D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17B-415A-9971-D74E885A3F2D}"/>
              </c:ext>
            </c:extLst>
          </c:dPt>
          <c:dLbls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Data!$L$3:$L$14</c:f>
              <c:strCache>
                <c:ptCount val="12"/>
                <c:pt idx="0">
                  <c:v>Jan 0,-</c:v>
                </c:pt>
                <c:pt idx="1">
                  <c:v>Feb 700,-</c:v>
                </c:pt>
                <c:pt idx="2">
                  <c:v>Mar 1 600,-</c:v>
                </c:pt>
                <c:pt idx="3">
                  <c:v>Apr 2 200,-</c:v>
                </c:pt>
                <c:pt idx="4">
                  <c:v>Mai 3 200,-</c:v>
                </c:pt>
                <c:pt idx="5">
                  <c:v>Jun 4 100,-</c:v>
                </c:pt>
                <c:pt idx="6">
                  <c:v>Jul 5 100,-</c:v>
                </c:pt>
                <c:pt idx="7">
                  <c:v>Aug 5 900,-</c:v>
                </c:pt>
                <c:pt idx="8">
                  <c:v>Sep 6 100,-</c:v>
                </c:pt>
                <c:pt idx="9">
                  <c:v>Okt 4 700,-</c:v>
                </c:pt>
                <c:pt idx="10">
                  <c:v>Nov 2 500,-</c:v>
                </c:pt>
                <c:pt idx="11">
                  <c:v>Des 900,-</c:v>
                </c:pt>
              </c:strCache>
            </c:strRef>
          </c:cat>
          <c:val>
            <c:numRef>
              <c:f>Data!$U$3:$U$14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17B-415A-9971-D74E885A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>
                <a:solidFill>
                  <a:sysClr val="windowText" lastClr="000000"/>
                </a:solidFill>
              </a:rPr>
              <a:t>Kalvinger hos produsent siste 12 mnd</a:t>
            </a:r>
            <a:endParaRPr lang="nb-NO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6124438800961402E-2"/>
          <c:y val="0.11503070859129623"/>
          <c:w val="0.86391168956812248"/>
          <c:h val="0.8553706546052410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3A-46CE-9782-F41A0BAF67D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3A-46CE-9782-F41A0BAF67DE}"/>
              </c:ext>
            </c:extLst>
          </c:dPt>
          <c:dPt>
            <c:idx val="2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3A-46CE-9782-F41A0BAF67DE}"/>
              </c:ext>
            </c:extLst>
          </c:dPt>
          <c:dPt>
            <c:idx val="3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3A-46CE-9782-F41A0BAF67DE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A-46CE-9782-F41A0BAF67DE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3A-46CE-9782-F41A0BAF67DE}"/>
              </c:ext>
            </c:extLst>
          </c:dPt>
          <c:dPt>
            <c:idx val="6"/>
            <c:bubble3D val="0"/>
            <c:spPr>
              <a:solidFill>
                <a:srgbClr val="00C459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3A-46CE-9782-F41A0BAF67DE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3A-46CE-9782-F41A0BAF67D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3A-46CE-9782-F41A0BAF67DE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AA3A-46CE-9782-F41A0BAF67DE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AA3A-46CE-9782-F41A0BAF67DE}"/>
              </c:ext>
            </c:extLst>
          </c:dPt>
          <c:dPt>
            <c:idx val="11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AA3A-46CE-9782-F41A0BAF67D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'Antall kalvinger hos produsent'!$T$2:$T$13</c:f>
              <c:strCache>
                <c:ptCount val="12"/>
                <c:pt idx="0">
                  <c:v>Jan 1</c:v>
                </c:pt>
                <c:pt idx="1">
                  <c:v>Feb  -</c:v>
                </c:pt>
                <c:pt idx="2">
                  <c:v>Mar  -</c:v>
                </c:pt>
                <c:pt idx="3">
                  <c:v>Apr  -</c:v>
                </c:pt>
                <c:pt idx="4">
                  <c:v>Mai  -</c:v>
                </c:pt>
                <c:pt idx="5">
                  <c:v>Jun  -</c:v>
                </c:pt>
                <c:pt idx="6">
                  <c:v>Jul  -</c:v>
                </c:pt>
                <c:pt idx="7">
                  <c:v>Aug  -</c:v>
                </c:pt>
                <c:pt idx="8">
                  <c:v>Sep 11</c:v>
                </c:pt>
                <c:pt idx="9">
                  <c:v>Okt 3</c:v>
                </c:pt>
                <c:pt idx="10">
                  <c:v>Nov 1</c:v>
                </c:pt>
                <c:pt idx="11">
                  <c:v>Des  -</c:v>
                </c:pt>
              </c:strCache>
            </c:strRef>
          </c:cat>
          <c:val>
            <c:numRef>
              <c:f>'Antall kalvinger hos produsent'!$U$2:$U$13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A3A-46CE-9782-F41A0BAF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</xdr:colOff>
      <xdr:row>0</xdr:row>
      <xdr:rowOff>69149</xdr:rowOff>
    </xdr:from>
    <xdr:to>
      <xdr:col>7</xdr:col>
      <xdr:colOff>662421</xdr:colOff>
      <xdr:row>32</xdr:row>
      <xdr:rowOff>131990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D5D692C-8AFC-47BF-AD0E-CEC13717F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483037</xdr:colOff>
      <xdr:row>14</xdr:row>
      <xdr:rowOff>149450</xdr:rowOff>
    </xdr:from>
    <xdr:ext cx="2465295" cy="843693"/>
    <xdr:sp macro="" textlink="">
      <xdr:nvSpPr>
        <xdr:cNvPr id="3" name="TekstSylinder 4">
          <a:extLst>
            <a:ext uri="{FF2B5EF4-FFF2-40B4-BE49-F238E27FC236}">
              <a16:creationId xmlns:a16="http://schemas.microsoft.com/office/drawing/2014/main" id="{DBECCF38-5C1E-4195-BE7B-24CBBD287F82}"/>
            </a:ext>
          </a:extLst>
        </xdr:cNvPr>
        <xdr:cNvSpPr txBox="1"/>
      </xdr:nvSpPr>
      <xdr:spPr>
        <a:xfrm>
          <a:off x="2007037" y="3359375"/>
          <a:ext cx="2465295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Effekt melkepris (øre per liter) </a:t>
          </a:r>
          <a:endParaRPr lang="nb-NO" sz="2400"/>
        </a:p>
      </xdr:txBody>
    </xdr:sp>
    <xdr:clientData/>
  </xdr:oneCellAnchor>
  <xdr:twoCellAnchor>
    <xdr:from>
      <xdr:col>9</xdr:col>
      <xdr:colOff>212023</xdr:colOff>
      <xdr:row>0</xdr:row>
      <xdr:rowOff>78674</xdr:rowOff>
    </xdr:from>
    <xdr:to>
      <xdr:col>17</xdr:col>
      <xdr:colOff>526473</xdr:colOff>
      <xdr:row>32</xdr:row>
      <xdr:rowOff>152400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45D7915-5F37-4553-8CE6-7689B3916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544889</xdr:colOff>
      <xdr:row>14</xdr:row>
      <xdr:rowOff>149450</xdr:rowOff>
    </xdr:from>
    <xdr:ext cx="2733071" cy="843693"/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E4C1753-054C-478C-A9FA-F9EAD3334126}"/>
            </a:ext>
          </a:extLst>
        </xdr:cNvPr>
        <xdr:cNvSpPr txBox="1"/>
      </xdr:nvSpPr>
      <xdr:spPr>
        <a:xfrm>
          <a:off x="10774739" y="3359375"/>
          <a:ext cx="2733071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Effekt</a:t>
          </a:r>
          <a:r>
            <a:rPr lang="nb-NO" sz="2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melkepris (øre</a:t>
          </a:r>
          <a:r>
            <a:rPr lang="nb-NO" sz="2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 liter</a:t>
          </a: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nb-NO" sz="2400"/>
        </a:p>
      </xdr:txBody>
    </xdr:sp>
    <xdr:clientData/>
  </xdr:oneCellAnchor>
  <xdr:twoCellAnchor>
    <xdr:from>
      <xdr:col>18</xdr:col>
      <xdr:colOff>238206</xdr:colOff>
      <xdr:row>1</xdr:row>
      <xdr:rowOff>53148</xdr:rowOff>
    </xdr:from>
    <xdr:to>
      <xdr:col>24</xdr:col>
      <xdr:colOff>53149</xdr:colOff>
      <xdr:row>17</xdr:row>
      <xdr:rowOff>145676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C47AF572-A886-409E-AF34-E4040AF47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</xdr:colOff>
      <xdr:row>0</xdr:row>
      <xdr:rowOff>69149</xdr:rowOff>
    </xdr:from>
    <xdr:to>
      <xdr:col>7</xdr:col>
      <xdr:colOff>662421</xdr:colOff>
      <xdr:row>32</xdr:row>
      <xdr:rowOff>131990</xdr:rowOff>
    </xdr:to>
    <xdr:graphicFrame macro="">
      <xdr:nvGraphicFramePr>
        <xdr:cNvPr id="117" name="Diagram 2">
          <a:extLst>
            <a:ext uri="{FF2B5EF4-FFF2-40B4-BE49-F238E27FC236}">
              <a16:creationId xmlns:a16="http://schemas.microsoft.com/office/drawing/2014/main" id="{31E3ED30-2F7D-44A8-A8A9-EA0A32338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606862</xdr:colOff>
      <xdr:row>13</xdr:row>
      <xdr:rowOff>178025</xdr:rowOff>
    </xdr:from>
    <xdr:ext cx="2465295" cy="843693"/>
    <xdr:sp macro="" textlink="">
      <xdr:nvSpPr>
        <xdr:cNvPr id="118" name="TekstSylinder 4">
          <a:extLst>
            <a:ext uri="{FF2B5EF4-FFF2-40B4-BE49-F238E27FC236}">
              <a16:creationId xmlns:a16="http://schemas.microsoft.com/office/drawing/2014/main" id="{44E30740-2A22-4B95-801B-2222EFBEF148}"/>
            </a:ext>
          </a:extLst>
        </xdr:cNvPr>
        <xdr:cNvSpPr txBox="1"/>
      </xdr:nvSpPr>
      <xdr:spPr>
        <a:xfrm>
          <a:off x="2174405" y="3280454"/>
          <a:ext cx="2465295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Effekt melkepris (kr) </a:t>
          </a:r>
          <a:endParaRPr lang="nb-NO" sz="2400"/>
        </a:p>
      </xdr:txBody>
    </xdr:sp>
    <xdr:clientData/>
  </xdr:oneCellAnchor>
  <xdr:twoCellAnchor>
    <xdr:from>
      <xdr:col>9</xdr:col>
      <xdr:colOff>212023</xdr:colOff>
      <xdr:row>0</xdr:row>
      <xdr:rowOff>78674</xdr:rowOff>
    </xdr:from>
    <xdr:to>
      <xdr:col>17</xdr:col>
      <xdr:colOff>526473</xdr:colOff>
      <xdr:row>32</xdr:row>
      <xdr:rowOff>152400</xdr:rowOff>
    </xdr:to>
    <xdr:graphicFrame macro="">
      <xdr:nvGraphicFramePr>
        <xdr:cNvPr id="116" name="Diagram 2">
          <a:extLst>
            <a:ext uri="{FF2B5EF4-FFF2-40B4-BE49-F238E27FC236}">
              <a16:creationId xmlns:a16="http://schemas.microsoft.com/office/drawing/2014/main" id="{16B86DAD-9F7A-472C-8FF4-283E9EBDF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630614</xdr:colOff>
      <xdr:row>14</xdr:row>
      <xdr:rowOff>32551</xdr:rowOff>
    </xdr:from>
    <xdr:ext cx="2733071" cy="843693"/>
    <xdr:sp macro="" textlink="">
      <xdr:nvSpPr>
        <xdr:cNvPr id="119" name="TekstSylinder 4">
          <a:extLst>
            <a:ext uri="{FF2B5EF4-FFF2-40B4-BE49-F238E27FC236}">
              <a16:creationId xmlns:a16="http://schemas.microsoft.com/office/drawing/2014/main" id="{35042A69-0714-481B-B5DC-A6CE926B37F9}"/>
            </a:ext>
          </a:extLst>
        </xdr:cNvPr>
        <xdr:cNvSpPr txBox="1"/>
      </xdr:nvSpPr>
      <xdr:spPr>
        <a:xfrm>
          <a:off x="11124443" y="3320037"/>
          <a:ext cx="2733071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Effekt</a:t>
          </a:r>
          <a:r>
            <a:rPr lang="nb-NO" sz="2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melkepris (kr) </a:t>
          </a:r>
          <a:endParaRPr lang="nb-NO" sz="2400"/>
        </a:p>
      </xdr:txBody>
    </xdr:sp>
    <xdr:clientData/>
  </xdr:oneCellAnchor>
  <xdr:twoCellAnchor>
    <xdr:from>
      <xdr:col>18</xdr:col>
      <xdr:colOff>238206</xdr:colOff>
      <xdr:row>1</xdr:row>
      <xdr:rowOff>53148</xdr:rowOff>
    </xdr:from>
    <xdr:to>
      <xdr:col>24</xdr:col>
      <xdr:colOff>53149</xdr:colOff>
      <xdr:row>17</xdr:row>
      <xdr:rowOff>145676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742630C-2AC5-465F-8AAF-5863D9BB7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0.35339</cdr:x>
      <cdr:y>0.3139</cdr:y>
    </cdr:from>
    <cdr:to>
      <cdr:x>0.63645</cdr:x>
      <cdr:y>0.397</cdr:y>
    </cdr:to>
    <cdr:sp macro="" textlink="">
      <cdr:nvSpPr>
        <cdr:cNvPr id="2" name="TekstSylinder 7">
          <a:extLst xmlns:a="http://schemas.openxmlformats.org/drawingml/2006/main">
            <a:ext uri="{FF2B5EF4-FFF2-40B4-BE49-F238E27FC236}">
              <a16:creationId xmlns:a16="http://schemas.microsoft.com/office/drawing/2014/main" id="{7D98F3F2-1D5E-4C25-98EE-CA50C91C4C06}"/>
            </a:ext>
          </a:extLst>
        </cdr:cNvPr>
        <cdr:cNvSpPr txBox="1"/>
      </cdr:nvSpPr>
      <cdr:spPr>
        <a:xfrm xmlns:a="http://schemas.openxmlformats.org/drawingml/2006/main">
          <a:off x="3465316" y="2004422"/>
          <a:ext cx="277572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nb-NO" sz="2800" dirty="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106680</xdr:colOff>
      <xdr:row>0</xdr:row>
      <xdr:rowOff>0</xdr:rowOff>
    </xdr:from>
    <xdr:to>
      <xdr:col>12</xdr:col>
      <xdr:colOff>2316480</xdr:colOff>
      <xdr:row>9</xdr:row>
      <xdr:rowOff>45720</xdr:rowOff>
    </xdr:to>
    <xdr:sp macro="" textlink="">
      <xdr:nvSpPr>
        <xdr:cNvPr id="2" name="Pil: venstre 1">
          <a:extLst>
            <a:ext uri="{FF2B5EF4-FFF2-40B4-BE49-F238E27FC236}">
              <a16:creationId xmlns:a16="http://schemas.microsoft.com/office/drawing/2014/main" id="{FC78FF58-5215-490E-8C9F-D2ABFB9215C0}"/>
            </a:ext>
          </a:extLst>
        </xdr:cNvPr>
        <xdr:cNvSpPr/>
      </xdr:nvSpPr>
      <xdr:spPr>
        <a:xfrm>
          <a:off x="8823960" y="0"/>
          <a:ext cx="3002280" cy="17602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/>
            <a:t>Kopier fra Dyreflyt til A1 (velg siste 12 mnd, klikk på kvige og okse kalvinger i tabellen, og så kopiere f.o.m. overskriften og helt ned til siste dyr)</a:t>
          </a:r>
        </a:p>
      </xdr:txBody>
    </xdr:sp>
    <xdr:clientData/>
  </xdr:twoCellAnchor>
  <xdr:twoCellAnchor>
    <xdr:from>
      <xdr:col>11</xdr:col>
      <xdr:colOff>53340</xdr:colOff>
      <xdr:row>8</xdr:row>
      <xdr:rowOff>60960</xdr:rowOff>
    </xdr:from>
    <xdr:to>
      <xdr:col>12</xdr:col>
      <xdr:colOff>2278772</xdr:colOff>
      <xdr:row>19</xdr:row>
      <xdr:rowOff>160305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67B97131-01EC-4065-A35F-F3DA4E17E4B9}"/>
            </a:ext>
          </a:extLst>
        </xdr:cNvPr>
        <xdr:cNvGrpSpPr/>
      </xdr:nvGrpSpPr>
      <xdr:grpSpPr>
        <a:xfrm>
          <a:off x="8540115" y="1584960"/>
          <a:ext cx="2996957" cy="2194845"/>
          <a:chOff x="8770620" y="1584960"/>
          <a:chExt cx="3017912" cy="2194845"/>
        </a:xfrm>
      </xdr:grpSpPr>
      <xdr:pic>
        <xdr:nvPicPr>
          <xdr:cNvPr id="3" name="Bilde 2">
            <a:extLst>
              <a:ext uri="{FF2B5EF4-FFF2-40B4-BE49-F238E27FC236}">
                <a16:creationId xmlns:a16="http://schemas.microsoft.com/office/drawing/2014/main" id="{9DBA84EB-2333-4CBE-BC1A-A2A78A55BB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70620" y="1584960"/>
            <a:ext cx="3017912" cy="2194845"/>
          </a:xfrm>
          <a:prstGeom prst="rect">
            <a:avLst/>
          </a:prstGeom>
        </xdr:spPr>
      </xdr:pic>
      <xdr:sp macro="" textlink="">
        <xdr:nvSpPr>
          <xdr:cNvPr id="4" name="Rektangel: avrundede hjørner 3">
            <a:extLst>
              <a:ext uri="{FF2B5EF4-FFF2-40B4-BE49-F238E27FC236}">
                <a16:creationId xmlns:a16="http://schemas.microsoft.com/office/drawing/2014/main" id="{EB500486-B3CE-4241-A482-3E1A1325B7A4}"/>
              </a:ext>
            </a:extLst>
          </xdr:cNvPr>
          <xdr:cNvSpPr/>
        </xdr:nvSpPr>
        <xdr:spPr>
          <a:xfrm>
            <a:off x="11506200" y="2720340"/>
            <a:ext cx="251460" cy="38100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F24E-5027-479F-A3FE-5D0AF1AC1FC9}">
  <sheetPr>
    <pageSetUpPr fitToPage="1"/>
  </sheetPr>
  <dimension ref="I4:V32"/>
  <sheetViews>
    <sheetView zoomScale="50" zoomScaleNormal="50" workbookViewId="0">
      <selection activeCell="I5" sqref="I5"/>
    </sheetView>
  </sheetViews>
  <sheetFormatPr defaultColWidth="11.42578125" defaultRowHeight="14.45"/>
  <cols>
    <col min="1" max="5" width="11.42578125" style="19"/>
    <col min="6" max="6" width="13.42578125" style="19" customWidth="1"/>
    <col min="7" max="7" width="16.42578125" style="19" customWidth="1"/>
    <col min="8" max="8" width="13.140625" style="19" customWidth="1"/>
    <col min="9" max="9" width="30.42578125" style="19" customWidth="1"/>
    <col min="10" max="18" width="11.42578125" style="19"/>
    <col min="19" max="19" width="17.5703125" style="19" hidden="1" customWidth="1"/>
    <col min="20" max="25" width="0" style="19" hidden="1" customWidth="1"/>
    <col min="26" max="16384" width="11.42578125" style="19"/>
  </cols>
  <sheetData>
    <row r="4" spans="9:9" ht="23.45">
      <c r="I4" s="22" t="s">
        <v>0</v>
      </c>
    </row>
    <row r="5" spans="9:9" ht="23.45">
      <c r="I5" s="16" t="s">
        <v>1</v>
      </c>
    </row>
    <row r="6" spans="9:9">
      <c r="I6" s="64" t="s">
        <v>2</v>
      </c>
    </row>
    <row r="7" spans="9:9" ht="23.45">
      <c r="I7" s="62">
        <v>8000</v>
      </c>
    </row>
    <row r="9" spans="9:9" ht="21">
      <c r="I9" s="18" t="s">
        <v>3</v>
      </c>
    </row>
    <row r="10" spans="9:9" ht="21">
      <c r="I10" s="18" t="s">
        <v>4</v>
      </c>
    </row>
    <row r="11" spans="9:9" ht="21">
      <c r="I11" s="18" t="s">
        <v>5</v>
      </c>
    </row>
    <row r="17" spans="9:22">
      <c r="I17" s="21"/>
    </row>
    <row r="19" spans="9:22" ht="23.25" customHeight="1">
      <c r="T19" s="23" t="s">
        <v>6</v>
      </c>
      <c r="U19" s="16" t="s">
        <v>7</v>
      </c>
      <c r="V19" s="24" t="s">
        <v>8</v>
      </c>
    </row>
    <row r="20" spans="9:22">
      <c r="I20" s="63"/>
    </row>
    <row r="21" spans="9:22">
      <c r="I21" s="63"/>
    </row>
    <row r="22" spans="9:22">
      <c r="I22" s="63"/>
    </row>
    <row r="23" spans="9:22">
      <c r="I23" s="63"/>
    </row>
    <row r="26" spans="9:22" ht="21">
      <c r="I26" s="20" t="s">
        <v>9</v>
      </c>
    </row>
    <row r="27" spans="9:22" ht="21">
      <c r="I27" s="20" t="s">
        <v>10</v>
      </c>
    </row>
    <row r="31" spans="9:22" ht="15.6">
      <c r="I31" s="57" t="s">
        <v>11</v>
      </c>
    </row>
    <row r="32" spans="9:22" ht="15.6">
      <c r="I32" s="57" t="s">
        <v>12</v>
      </c>
    </row>
  </sheetData>
  <sheetProtection sheet="1" objects="1" scenarios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97F3C1-8282-4BB1-8896-FE8595589BC7}">
          <x14:formula1>
            <xm:f>'Antall kalvinger hos produsent'!$W$3:$W$4</xm:f>
          </x14:formula1>
          <xm:sqref>U19</xm:sqref>
        </x14:dataValidation>
        <x14:dataValidation type="list" allowBlank="1" showInputMessage="1" showErrorMessage="1" xr:uid="{312EFFAF-1853-49E7-93EF-27A29F357626}">
          <x14:formula1>
            <xm:f>Data!$G$15:$G$16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4518-7953-40E1-A9F9-ACC382242B22}">
  <dimension ref="I2:V31"/>
  <sheetViews>
    <sheetView tabSelected="1" zoomScale="50" zoomScaleNormal="50" workbookViewId="0">
      <selection activeCell="I6" sqref="I6"/>
    </sheetView>
  </sheetViews>
  <sheetFormatPr defaultColWidth="11.42578125" defaultRowHeight="14.45"/>
  <cols>
    <col min="1" max="5" width="11.42578125" style="19"/>
    <col min="6" max="6" width="13.42578125" style="19" customWidth="1"/>
    <col min="7" max="7" width="16.42578125" style="19" customWidth="1"/>
    <col min="8" max="8" width="13.140625" style="19" customWidth="1"/>
    <col min="9" max="9" width="30.42578125" style="19" customWidth="1"/>
    <col min="10" max="18" width="11.42578125" style="19"/>
    <col min="19" max="19" width="17.5703125" style="19" hidden="1" customWidth="1"/>
    <col min="20" max="25" width="0" style="19" hidden="1" customWidth="1"/>
    <col min="26" max="16384" width="11.42578125" style="19"/>
  </cols>
  <sheetData>
    <row r="2" spans="9:9" ht="23.45">
      <c r="I2" s="22" t="s">
        <v>0</v>
      </c>
    </row>
    <row r="3" spans="9:9" ht="23.45">
      <c r="I3" s="16" t="s">
        <v>1</v>
      </c>
    </row>
    <row r="4" spans="9:9">
      <c r="I4" s="21"/>
    </row>
    <row r="5" spans="9:9" ht="23.45">
      <c r="I5" s="22" t="s">
        <v>13</v>
      </c>
    </row>
    <row r="6" spans="9:9" ht="23.45">
      <c r="I6" s="17">
        <v>9000</v>
      </c>
    </row>
    <row r="10" spans="9:9" ht="21">
      <c r="I10" s="18" t="s">
        <v>3</v>
      </c>
    </row>
    <row r="11" spans="9:9" ht="21">
      <c r="I11" s="18" t="s">
        <v>4</v>
      </c>
    </row>
    <row r="12" spans="9:9" ht="21">
      <c r="I12" s="18" t="s">
        <v>5</v>
      </c>
    </row>
    <row r="15" spans="9:9" ht="21">
      <c r="I15" s="20" t="s">
        <v>9</v>
      </c>
    </row>
    <row r="16" spans="9:9" ht="21">
      <c r="I16" s="20" t="s">
        <v>10</v>
      </c>
    </row>
    <row r="17" spans="9:22">
      <c r="I17" s="21"/>
    </row>
    <row r="18" spans="9:22" ht="15" thickBot="1"/>
    <row r="19" spans="9:22" ht="23.25" customHeight="1">
      <c r="I19" s="66" t="s">
        <v>14</v>
      </c>
      <c r="T19" s="23" t="s">
        <v>6</v>
      </c>
      <c r="U19" s="16" t="s">
        <v>7</v>
      </c>
      <c r="V19" s="24" t="s">
        <v>8</v>
      </c>
    </row>
    <row r="20" spans="9:22">
      <c r="I20" s="67"/>
    </row>
    <row r="21" spans="9:22">
      <c r="I21" s="67"/>
    </row>
    <row r="22" spans="9:22">
      <c r="I22" s="67"/>
    </row>
    <row r="23" spans="9:22">
      <c r="I23" s="67"/>
    </row>
    <row r="24" spans="9:22">
      <c r="I24" s="67"/>
    </row>
    <row r="25" spans="9:22">
      <c r="I25" s="67"/>
    </row>
    <row r="26" spans="9:22">
      <c r="I26" s="67"/>
    </row>
    <row r="27" spans="9:22" ht="15" thickBot="1">
      <c r="I27" s="68"/>
    </row>
    <row r="30" spans="9:22" ht="15.6">
      <c r="I30" s="57" t="s">
        <v>11</v>
      </c>
    </row>
    <row r="31" spans="9:22" ht="15.6">
      <c r="I31" s="57" t="str">
        <f>+'Melkepriskalender (per liter)'!I32</f>
        <v>gjeldende fra 1/2026</v>
      </c>
    </row>
  </sheetData>
  <sheetProtection sheet="1" objects="1" scenarios="1"/>
  <mergeCells count="1">
    <mergeCell ref="I19:I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E0664A-247B-4B05-9650-D947D9FB5B7E}">
          <x14:formula1>
            <xm:f>Data!$G$15:$G$16</xm:f>
          </x14:formula1>
          <xm:sqref>I3</xm:sqref>
        </x14:dataValidation>
        <x14:dataValidation type="list" allowBlank="1" showInputMessage="1" showErrorMessage="1" xr:uid="{3B4D4710-31CF-44DF-BE49-4107DF8343AE}">
          <x14:formula1>
            <xm:f>'Antall kalvinger hos produsent'!$W$3:$W$4</xm:f>
          </x14:formula1>
          <xm:sqref>U19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8CE4-E5B3-46D4-8E78-EF4347280642}">
  <dimension ref="A1"/>
  <sheetViews>
    <sheetView workbookViewId="0"/>
  </sheetViews>
  <sheetFormatPr defaultColWidth="9.140625" defaultRowHeight="14.4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942C-8ACE-4F91-904E-8AC1CE997CAD}">
  <dimension ref="A1:X141"/>
  <sheetViews>
    <sheetView workbookViewId="0">
      <selection activeCell="J37" sqref="J37"/>
    </sheetView>
  </sheetViews>
  <sheetFormatPr defaultColWidth="11.5703125" defaultRowHeight="14.45"/>
  <cols>
    <col min="1" max="11" width="11.5703125" style="53"/>
    <col min="12" max="12" width="11.5703125" style="34"/>
    <col min="13" max="13" width="34.42578125" style="19" customWidth="1"/>
    <col min="14" max="14" width="3" style="19" bestFit="1" customWidth="1"/>
    <col min="15" max="15" width="4.42578125" style="19" bestFit="1" customWidth="1"/>
    <col min="16" max="16" width="5" style="19" customWidth="1"/>
    <col min="17" max="22" width="11.5703125" style="34" customWidth="1"/>
    <col min="23" max="23" width="0.140625" style="34" customWidth="1"/>
    <col min="24" max="24" width="11.5703125" style="34"/>
    <col min="25" max="16384" width="11.5703125" style="19"/>
  </cols>
  <sheetData>
    <row r="1" spans="1:24" ht="15" thickBot="1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M1" s="25"/>
      <c r="N1" s="26"/>
      <c r="O1" s="27"/>
      <c r="P1" s="28" t="s">
        <v>16</v>
      </c>
      <c r="Q1" s="29"/>
      <c r="R1" s="29" t="s">
        <v>17</v>
      </c>
      <c r="S1" s="29"/>
      <c r="T1" s="29" t="s">
        <v>18</v>
      </c>
      <c r="U1" s="30"/>
      <c r="V1" s="30"/>
      <c r="W1" s="30"/>
      <c r="X1" s="31"/>
    </row>
    <row r="2" spans="1:24" ht="15" thickBot="1">
      <c r="A2" s="46" t="s">
        <v>19</v>
      </c>
      <c r="B2" s="46" t="s">
        <v>20</v>
      </c>
      <c r="C2" s="46" t="s">
        <v>21</v>
      </c>
      <c r="D2" s="46" t="s">
        <v>22</v>
      </c>
      <c r="E2" s="46" t="s">
        <v>23</v>
      </c>
      <c r="F2" s="46" t="s">
        <v>24</v>
      </c>
      <c r="G2" s="46" t="s">
        <v>25</v>
      </c>
      <c r="H2" s="46" t="s">
        <v>26</v>
      </c>
      <c r="I2" s="46" t="s">
        <v>27</v>
      </c>
      <c r="J2" s="46" t="s">
        <v>28</v>
      </c>
      <c r="K2" s="46" t="s">
        <v>29</v>
      </c>
      <c r="N2" s="32">
        <v>1</v>
      </c>
      <c r="O2" s="19" t="s">
        <v>30</v>
      </c>
      <c r="P2" s="33">
        <f t="shared" ref="P2:P13" si="0">+COUNTIF(L:L,N2)</f>
        <v>1</v>
      </c>
      <c r="Q2" s="34" t="str">
        <f t="shared" ref="Q2:Q13" si="1">+IF(P2=0,$O2&amp;"  -",$O2&amp;" "&amp;P2)</f>
        <v>Jan 1</v>
      </c>
      <c r="R2" s="35">
        <f t="shared" ref="R2:R13" si="2">+P2/$P$14</f>
        <v>6.25E-2</v>
      </c>
      <c r="S2" s="34" t="str">
        <f t="shared" ref="S2:S13" si="3">+IF(R2=0,$O2&amp;"  -",$O2&amp;" "&amp;ROUND(R2*100,0)&amp;" %")</f>
        <v>Jan 6 %</v>
      </c>
      <c r="T2" s="34" t="str">
        <f>+IF(Melkepriskalender!$U$19="antall",Q2,S2)</f>
        <v>Jan 1</v>
      </c>
      <c r="U2" s="34">
        <v>1</v>
      </c>
      <c r="X2" s="36"/>
    </row>
    <row r="3" spans="1:24" ht="15" thickBot="1">
      <c r="A3" s="47">
        <v>311</v>
      </c>
      <c r="B3" s="47" t="s">
        <v>31</v>
      </c>
      <c r="C3" s="47" t="s">
        <v>32</v>
      </c>
      <c r="D3" s="47" t="s">
        <v>33</v>
      </c>
      <c r="E3" s="48">
        <v>43469</v>
      </c>
      <c r="F3" s="47" t="s">
        <v>34</v>
      </c>
      <c r="G3" s="48">
        <v>43469</v>
      </c>
      <c r="H3" s="47"/>
      <c r="I3" s="48">
        <v>43830</v>
      </c>
      <c r="J3" s="47"/>
      <c r="K3" s="47"/>
      <c r="L3" s="34">
        <f>+IF(E3=0,"",MONTH(E3))</f>
        <v>1</v>
      </c>
      <c r="N3" s="32">
        <v>2</v>
      </c>
      <c r="O3" s="19" t="s">
        <v>35</v>
      </c>
      <c r="P3" s="33">
        <f t="shared" si="0"/>
        <v>0</v>
      </c>
      <c r="Q3" s="34" t="str">
        <f t="shared" si="1"/>
        <v>Feb  -</v>
      </c>
      <c r="R3" s="35">
        <f t="shared" si="2"/>
        <v>0</v>
      </c>
      <c r="S3" s="34" t="str">
        <f t="shared" si="3"/>
        <v>Feb  -</v>
      </c>
      <c r="T3" s="34" t="str">
        <f>+IF(Melkepriskalender!$U$19="antall",Q3,S3)</f>
        <v>Feb  -</v>
      </c>
      <c r="U3" s="34">
        <v>1</v>
      </c>
      <c r="W3" s="37" t="s">
        <v>7</v>
      </c>
      <c r="X3" s="36"/>
    </row>
    <row r="4" spans="1:24" ht="15" thickBot="1">
      <c r="A4" s="47">
        <v>312</v>
      </c>
      <c r="B4" s="47" t="s">
        <v>31</v>
      </c>
      <c r="C4" s="47" t="s">
        <v>32</v>
      </c>
      <c r="D4" s="47" t="s">
        <v>33</v>
      </c>
      <c r="E4" s="48">
        <v>43715</v>
      </c>
      <c r="F4" s="47" t="s">
        <v>34</v>
      </c>
      <c r="G4" s="48">
        <v>43715</v>
      </c>
      <c r="H4" s="47"/>
      <c r="I4" s="48">
        <v>43830</v>
      </c>
      <c r="J4" s="47"/>
      <c r="K4" s="47"/>
      <c r="L4" s="34">
        <f t="shared" ref="L4:L67" si="4">+IF(E4=0,"",MONTH(E4))</f>
        <v>9</v>
      </c>
      <c r="N4" s="32">
        <v>3</v>
      </c>
      <c r="O4" s="19" t="s">
        <v>36</v>
      </c>
      <c r="P4" s="33">
        <f t="shared" si="0"/>
        <v>0</v>
      </c>
      <c r="Q4" s="34" t="str">
        <f t="shared" si="1"/>
        <v>Mar  -</v>
      </c>
      <c r="R4" s="35">
        <f t="shared" si="2"/>
        <v>0</v>
      </c>
      <c r="S4" s="34" t="str">
        <f t="shared" si="3"/>
        <v>Mar  -</v>
      </c>
      <c r="T4" s="34" t="str">
        <f>+IF(Melkepriskalender!$U$19="antall",Q4,S4)</f>
        <v>Mar  -</v>
      </c>
      <c r="U4" s="34">
        <v>1</v>
      </c>
      <c r="W4" s="37" t="s">
        <v>37</v>
      </c>
      <c r="X4" s="36"/>
    </row>
    <row r="5" spans="1:24" ht="15" thickBot="1">
      <c r="A5" s="47">
        <v>313</v>
      </c>
      <c r="B5" s="47" t="s">
        <v>31</v>
      </c>
      <c r="C5" s="47" t="s">
        <v>32</v>
      </c>
      <c r="D5" s="47" t="s">
        <v>33</v>
      </c>
      <c r="E5" s="48">
        <v>43729</v>
      </c>
      <c r="F5" s="47" t="s">
        <v>34</v>
      </c>
      <c r="G5" s="48">
        <v>43729</v>
      </c>
      <c r="H5" s="47"/>
      <c r="I5" s="48">
        <v>43830</v>
      </c>
      <c r="J5" s="47"/>
      <c r="K5" s="47"/>
      <c r="L5" s="34">
        <f t="shared" si="4"/>
        <v>9</v>
      </c>
      <c r="N5" s="32">
        <v>4</v>
      </c>
      <c r="O5" s="19" t="s">
        <v>38</v>
      </c>
      <c r="P5" s="33">
        <f t="shared" si="0"/>
        <v>0</v>
      </c>
      <c r="Q5" s="34" t="str">
        <f t="shared" si="1"/>
        <v>Apr  -</v>
      </c>
      <c r="R5" s="35">
        <f t="shared" si="2"/>
        <v>0</v>
      </c>
      <c r="S5" s="34" t="str">
        <f t="shared" si="3"/>
        <v>Apr  -</v>
      </c>
      <c r="T5" s="34" t="str">
        <f>+IF(Melkepriskalender!$U$19="antall",Q5,S5)</f>
        <v>Apr  -</v>
      </c>
      <c r="U5" s="34">
        <v>1</v>
      </c>
      <c r="X5" s="36"/>
    </row>
    <row r="6" spans="1:24" ht="15" thickBot="1">
      <c r="A6" s="47">
        <v>314</v>
      </c>
      <c r="B6" s="47" t="s">
        <v>31</v>
      </c>
      <c r="C6" s="47" t="s">
        <v>32</v>
      </c>
      <c r="D6" s="47" t="s">
        <v>33</v>
      </c>
      <c r="E6" s="48">
        <v>43729</v>
      </c>
      <c r="F6" s="47" t="s">
        <v>34</v>
      </c>
      <c r="G6" s="48">
        <v>43729</v>
      </c>
      <c r="H6" s="47"/>
      <c r="I6" s="48">
        <v>43830</v>
      </c>
      <c r="J6" s="47"/>
      <c r="K6" s="47"/>
      <c r="L6" s="34">
        <f t="shared" si="4"/>
        <v>9</v>
      </c>
      <c r="N6" s="32">
        <v>5</v>
      </c>
      <c r="O6" s="19" t="s">
        <v>39</v>
      </c>
      <c r="P6" s="33">
        <f t="shared" si="0"/>
        <v>0</v>
      </c>
      <c r="Q6" s="34" t="str">
        <f t="shared" si="1"/>
        <v>Mai  -</v>
      </c>
      <c r="R6" s="35">
        <f t="shared" si="2"/>
        <v>0</v>
      </c>
      <c r="S6" s="34" t="str">
        <f t="shared" si="3"/>
        <v>Mai  -</v>
      </c>
      <c r="T6" s="34" t="str">
        <f>+IF(Melkepriskalender!$U$19="antall",Q6,S6)</f>
        <v>Mai  -</v>
      </c>
      <c r="U6" s="34">
        <v>1</v>
      </c>
      <c r="X6" s="36"/>
    </row>
    <row r="7" spans="1:24" ht="15" thickBot="1">
      <c r="A7" s="47">
        <v>315</v>
      </c>
      <c r="B7" s="47" t="s">
        <v>31</v>
      </c>
      <c r="C7" s="47" t="s">
        <v>32</v>
      </c>
      <c r="D7" s="47" t="s">
        <v>33</v>
      </c>
      <c r="E7" s="48">
        <v>43730</v>
      </c>
      <c r="F7" s="47" t="s">
        <v>34</v>
      </c>
      <c r="G7" s="48">
        <v>43730</v>
      </c>
      <c r="H7" s="47"/>
      <c r="I7" s="48">
        <v>43830</v>
      </c>
      <c r="J7" s="47"/>
      <c r="K7" s="47"/>
      <c r="L7" s="34">
        <f t="shared" si="4"/>
        <v>9</v>
      </c>
      <c r="N7" s="32">
        <v>6</v>
      </c>
      <c r="O7" s="19" t="s">
        <v>40</v>
      </c>
      <c r="P7" s="33">
        <f t="shared" si="0"/>
        <v>0</v>
      </c>
      <c r="Q7" s="34" t="str">
        <f t="shared" si="1"/>
        <v>Jun  -</v>
      </c>
      <c r="R7" s="35">
        <f t="shared" si="2"/>
        <v>0</v>
      </c>
      <c r="S7" s="34" t="str">
        <f t="shared" si="3"/>
        <v>Jun  -</v>
      </c>
      <c r="T7" s="34" t="str">
        <f>+IF(Melkepriskalender!$U$19="antall",Q7,S7)</f>
        <v>Jun  -</v>
      </c>
      <c r="U7" s="34">
        <v>1</v>
      </c>
      <c r="X7" s="36"/>
    </row>
    <row r="8" spans="1:24" ht="15" thickBot="1">
      <c r="A8" s="47">
        <v>316</v>
      </c>
      <c r="B8" s="47" t="s">
        <v>31</v>
      </c>
      <c r="C8" s="47" t="s">
        <v>32</v>
      </c>
      <c r="D8" s="47" t="s">
        <v>33</v>
      </c>
      <c r="E8" s="48">
        <v>43732</v>
      </c>
      <c r="F8" s="47" t="s">
        <v>34</v>
      </c>
      <c r="G8" s="48">
        <v>43732</v>
      </c>
      <c r="H8" s="47"/>
      <c r="I8" s="48">
        <v>43830</v>
      </c>
      <c r="J8" s="47"/>
      <c r="K8" s="47"/>
      <c r="L8" s="34">
        <f t="shared" si="4"/>
        <v>9</v>
      </c>
      <c r="N8" s="32">
        <v>7</v>
      </c>
      <c r="O8" s="19" t="s">
        <v>41</v>
      </c>
      <c r="P8" s="33">
        <f t="shared" si="0"/>
        <v>0</v>
      </c>
      <c r="Q8" s="34" t="str">
        <f t="shared" si="1"/>
        <v>Jul  -</v>
      </c>
      <c r="R8" s="35">
        <f t="shared" si="2"/>
        <v>0</v>
      </c>
      <c r="S8" s="34" t="str">
        <f t="shared" si="3"/>
        <v>Jul  -</v>
      </c>
      <c r="T8" s="34" t="str">
        <f>+IF(Melkepriskalender!$U$19="antall",Q8,S8)</f>
        <v>Jul  -</v>
      </c>
      <c r="U8" s="34">
        <v>1</v>
      </c>
      <c r="X8" s="36"/>
    </row>
    <row r="9" spans="1:24" ht="15" thickBot="1">
      <c r="A9" s="47">
        <v>318</v>
      </c>
      <c r="B9" s="47" t="s">
        <v>31</v>
      </c>
      <c r="C9" s="47" t="s">
        <v>32</v>
      </c>
      <c r="D9" s="47" t="s">
        <v>33</v>
      </c>
      <c r="E9" s="48">
        <v>43733</v>
      </c>
      <c r="F9" s="47" t="s">
        <v>34</v>
      </c>
      <c r="G9" s="48">
        <v>43733</v>
      </c>
      <c r="H9" s="47"/>
      <c r="I9" s="48">
        <v>43830</v>
      </c>
      <c r="J9" s="47"/>
      <c r="K9" s="47"/>
      <c r="L9" s="34">
        <f t="shared" si="4"/>
        <v>9</v>
      </c>
      <c r="N9" s="32">
        <v>8</v>
      </c>
      <c r="O9" s="19" t="s">
        <v>42</v>
      </c>
      <c r="P9" s="33">
        <f t="shared" si="0"/>
        <v>0</v>
      </c>
      <c r="Q9" s="34" t="str">
        <f t="shared" si="1"/>
        <v>Aug  -</v>
      </c>
      <c r="R9" s="35">
        <f t="shared" si="2"/>
        <v>0</v>
      </c>
      <c r="S9" s="34" t="str">
        <f t="shared" si="3"/>
        <v>Aug  -</v>
      </c>
      <c r="T9" s="34" t="str">
        <f>+IF(Melkepriskalender!$U$19="antall",Q9,S9)</f>
        <v>Aug  -</v>
      </c>
      <c r="U9" s="34">
        <v>1</v>
      </c>
      <c r="X9" s="36"/>
    </row>
    <row r="10" spans="1:24" ht="15" thickBot="1">
      <c r="A10" s="47">
        <v>322</v>
      </c>
      <c r="B10" s="47" t="s">
        <v>31</v>
      </c>
      <c r="C10" s="47" t="s">
        <v>32</v>
      </c>
      <c r="D10" s="47" t="s">
        <v>33</v>
      </c>
      <c r="E10" s="48">
        <v>43737</v>
      </c>
      <c r="F10" s="47" t="s">
        <v>34</v>
      </c>
      <c r="G10" s="48">
        <v>43737</v>
      </c>
      <c r="H10" s="47"/>
      <c r="I10" s="48">
        <v>43830</v>
      </c>
      <c r="J10" s="47"/>
      <c r="K10" s="47"/>
      <c r="L10" s="34">
        <f t="shared" si="4"/>
        <v>9</v>
      </c>
      <c r="N10" s="32">
        <v>9</v>
      </c>
      <c r="O10" s="19" t="s">
        <v>43</v>
      </c>
      <c r="P10" s="33">
        <f t="shared" si="0"/>
        <v>11</v>
      </c>
      <c r="Q10" s="34" t="str">
        <f t="shared" si="1"/>
        <v>Sep 11</v>
      </c>
      <c r="R10" s="35">
        <f t="shared" si="2"/>
        <v>0.6875</v>
      </c>
      <c r="S10" s="34" t="str">
        <f t="shared" si="3"/>
        <v>Sep 69 %</v>
      </c>
      <c r="T10" s="34" t="str">
        <f>+IF(Melkepriskalender!$U$19="antall",Q10,S10)</f>
        <v>Sep 11</v>
      </c>
      <c r="U10" s="34">
        <v>1</v>
      </c>
      <c r="X10" s="36"/>
    </row>
    <row r="11" spans="1:24" ht="15" thickBot="1">
      <c r="A11" s="47">
        <v>323</v>
      </c>
      <c r="B11" s="47" t="s">
        <v>31</v>
      </c>
      <c r="C11" s="47" t="s">
        <v>32</v>
      </c>
      <c r="D11" s="47" t="s">
        <v>33</v>
      </c>
      <c r="E11" s="48">
        <v>43760</v>
      </c>
      <c r="F11" s="47" t="s">
        <v>34</v>
      </c>
      <c r="G11" s="48">
        <v>43760</v>
      </c>
      <c r="H11" s="47"/>
      <c r="I11" s="48">
        <v>43830</v>
      </c>
      <c r="J11" s="47"/>
      <c r="K11" s="47"/>
      <c r="L11" s="34">
        <f t="shared" si="4"/>
        <v>10</v>
      </c>
      <c r="N11" s="32">
        <v>10</v>
      </c>
      <c r="O11" s="19" t="s">
        <v>44</v>
      </c>
      <c r="P11" s="33">
        <f t="shared" si="0"/>
        <v>3</v>
      </c>
      <c r="Q11" s="34" t="str">
        <f t="shared" si="1"/>
        <v>Okt 3</v>
      </c>
      <c r="R11" s="35">
        <f t="shared" si="2"/>
        <v>0.1875</v>
      </c>
      <c r="S11" s="34" t="str">
        <f t="shared" si="3"/>
        <v>Okt 19 %</v>
      </c>
      <c r="T11" s="34" t="str">
        <f>+IF(Melkepriskalender!$U$19="antall",Q11,S11)</f>
        <v>Okt 3</v>
      </c>
      <c r="U11" s="34">
        <v>1</v>
      </c>
      <c r="X11" s="36"/>
    </row>
    <row r="12" spans="1:24" ht="15" thickBot="1">
      <c r="A12" s="47">
        <v>324</v>
      </c>
      <c r="B12" s="47" t="s">
        <v>31</v>
      </c>
      <c r="C12" s="47" t="s">
        <v>32</v>
      </c>
      <c r="D12" s="47" t="s">
        <v>33</v>
      </c>
      <c r="E12" s="48">
        <v>43767</v>
      </c>
      <c r="F12" s="47" t="s">
        <v>34</v>
      </c>
      <c r="G12" s="48">
        <v>43767</v>
      </c>
      <c r="H12" s="47"/>
      <c r="I12" s="48">
        <v>43830</v>
      </c>
      <c r="J12" s="47"/>
      <c r="K12" s="47"/>
      <c r="L12" s="34">
        <f t="shared" si="4"/>
        <v>10</v>
      </c>
      <c r="N12" s="32">
        <v>11</v>
      </c>
      <c r="O12" s="19" t="s">
        <v>45</v>
      </c>
      <c r="P12" s="33">
        <f t="shared" si="0"/>
        <v>1</v>
      </c>
      <c r="Q12" s="34" t="str">
        <f t="shared" si="1"/>
        <v>Nov 1</v>
      </c>
      <c r="R12" s="35">
        <f t="shared" si="2"/>
        <v>6.25E-2</v>
      </c>
      <c r="S12" s="34" t="str">
        <f t="shared" si="3"/>
        <v>Nov 6 %</v>
      </c>
      <c r="T12" s="34" t="str">
        <f>+IF(Melkepriskalender!$U$19="antall",Q12,S12)</f>
        <v>Nov 1</v>
      </c>
      <c r="U12" s="34">
        <v>1</v>
      </c>
      <c r="X12" s="36"/>
    </row>
    <row r="13" spans="1:24" ht="15" thickBot="1">
      <c r="A13" s="47" t="s">
        <v>46</v>
      </c>
      <c r="B13" s="47"/>
      <c r="C13" s="47"/>
      <c r="D13" s="47"/>
      <c r="E13" s="48"/>
      <c r="F13" s="47"/>
      <c r="G13" s="48"/>
      <c r="H13" s="47"/>
      <c r="I13" s="48"/>
      <c r="J13" s="47"/>
      <c r="K13" s="47"/>
      <c r="L13" s="34" t="str">
        <f t="shared" si="4"/>
        <v/>
      </c>
      <c r="N13" s="32">
        <v>12</v>
      </c>
      <c r="O13" s="19" t="s">
        <v>47</v>
      </c>
      <c r="P13" s="33">
        <f t="shared" si="0"/>
        <v>0</v>
      </c>
      <c r="Q13" s="34" t="str">
        <f t="shared" si="1"/>
        <v>Des  -</v>
      </c>
      <c r="R13" s="35">
        <f t="shared" si="2"/>
        <v>0</v>
      </c>
      <c r="S13" s="34" t="str">
        <f t="shared" si="3"/>
        <v>Des  -</v>
      </c>
      <c r="T13" s="34" t="str">
        <f>+IF(Melkepriskalender!$U$19="antall",Q13,S13)</f>
        <v>Des  -</v>
      </c>
      <c r="U13" s="34">
        <v>1</v>
      </c>
      <c r="X13" s="36"/>
    </row>
    <row r="14" spans="1:24" ht="15" thickBot="1">
      <c r="A14" s="47" t="s">
        <v>19</v>
      </c>
      <c r="B14" s="47" t="s">
        <v>20</v>
      </c>
      <c r="C14" s="47" t="s">
        <v>21</v>
      </c>
      <c r="D14" s="47" t="s">
        <v>22</v>
      </c>
      <c r="E14" s="48" t="s">
        <v>23</v>
      </c>
      <c r="F14" s="47" t="s">
        <v>24</v>
      </c>
      <c r="G14" s="48" t="s">
        <v>25</v>
      </c>
      <c r="H14" s="47" t="s">
        <v>26</v>
      </c>
      <c r="I14" s="48" t="s">
        <v>27</v>
      </c>
      <c r="J14" s="47" t="s">
        <v>28</v>
      </c>
      <c r="K14" s="47" t="s">
        <v>29</v>
      </c>
      <c r="L14" s="34" t="e">
        <f t="shared" si="4"/>
        <v>#VALUE!</v>
      </c>
      <c r="N14" s="38"/>
      <c r="O14" s="39"/>
      <c r="P14" s="40">
        <f>+SUM(P2:P13)</f>
        <v>16</v>
      </c>
      <c r="Q14" s="41"/>
      <c r="R14" s="42"/>
      <c r="S14" s="41"/>
      <c r="T14" s="41"/>
      <c r="U14" s="41"/>
      <c r="V14" s="41"/>
      <c r="W14" s="41"/>
      <c r="X14" s="43"/>
    </row>
    <row r="15" spans="1:24" ht="15" thickBot="1">
      <c r="A15" s="47">
        <v>317</v>
      </c>
      <c r="B15" s="47" t="s">
        <v>31</v>
      </c>
      <c r="C15" s="47" t="s">
        <v>48</v>
      </c>
      <c r="D15" s="47" t="s">
        <v>33</v>
      </c>
      <c r="E15" s="48">
        <v>43733</v>
      </c>
      <c r="F15" s="47" t="s">
        <v>34</v>
      </c>
      <c r="G15" s="48">
        <v>43733</v>
      </c>
      <c r="H15" s="47"/>
      <c r="I15" s="48">
        <v>43830</v>
      </c>
      <c r="J15" s="47"/>
      <c r="K15" s="47"/>
      <c r="L15" s="34">
        <f t="shared" si="4"/>
        <v>9</v>
      </c>
    </row>
    <row r="16" spans="1:24" ht="15" thickBot="1">
      <c r="A16" s="44">
        <v>319</v>
      </c>
      <c r="B16" s="45" t="s">
        <v>31</v>
      </c>
      <c r="C16" s="45" t="s">
        <v>48</v>
      </c>
      <c r="D16" s="45" t="s">
        <v>33</v>
      </c>
      <c r="E16" s="55">
        <v>43734</v>
      </c>
      <c r="F16" s="45" t="s">
        <v>34</v>
      </c>
      <c r="G16" s="55">
        <v>43734</v>
      </c>
      <c r="H16" s="45"/>
      <c r="I16" s="55">
        <v>43830</v>
      </c>
      <c r="J16" s="45"/>
      <c r="K16" s="45"/>
      <c r="L16" s="34">
        <f t="shared" si="4"/>
        <v>9</v>
      </c>
    </row>
    <row r="17" spans="1:12" ht="15" thickBot="1">
      <c r="A17" s="46">
        <v>320</v>
      </c>
      <c r="B17" s="46" t="s">
        <v>31</v>
      </c>
      <c r="C17" s="46" t="s">
        <v>48</v>
      </c>
      <c r="D17" s="46" t="s">
        <v>33</v>
      </c>
      <c r="E17" s="56">
        <v>43734</v>
      </c>
      <c r="F17" s="46" t="s">
        <v>34</v>
      </c>
      <c r="G17" s="56">
        <v>43734</v>
      </c>
      <c r="H17" s="46"/>
      <c r="I17" s="56">
        <v>43830</v>
      </c>
      <c r="J17" s="46"/>
      <c r="K17" s="46"/>
      <c r="L17" s="34">
        <f t="shared" si="4"/>
        <v>9</v>
      </c>
    </row>
    <row r="18" spans="1:12" ht="15" thickBot="1">
      <c r="A18" s="47">
        <v>321</v>
      </c>
      <c r="B18" s="47" t="s">
        <v>31</v>
      </c>
      <c r="C18" s="47" t="s">
        <v>48</v>
      </c>
      <c r="D18" s="47" t="s">
        <v>33</v>
      </c>
      <c r="E18" s="48">
        <v>43734</v>
      </c>
      <c r="F18" s="47" t="s">
        <v>34</v>
      </c>
      <c r="G18" s="48">
        <v>43734</v>
      </c>
      <c r="H18" s="47"/>
      <c r="I18" s="48">
        <v>43830</v>
      </c>
      <c r="J18" s="47"/>
      <c r="K18" s="47"/>
      <c r="L18" s="34">
        <f t="shared" si="4"/>
        <v>9</v>
      </c>
    </row>
    <row r="19" spans="1:12" ht="15" thickBot="1">
      <c r="A19" s="47">
        <v>325</v>
      </c>
      <c r="B19" s="47" t="s">
        <v>31</v>
      </c>
      <c r="C19" s="47" t="s">
        <v>48</v>
      </c>
      <c r="D19" s="47" t="s">
        <v>33</v>
      </c>
      <c r="E19" s="48">
        <v>43769</v>
      </c>
      <c r="F19" s="47" t="s">
        <v>34</v>
      </c>
      <c r="G19" s="48">
        <v>43769</v>
      </c>
      <c r="H19" s="47"/>
      <c r="I19" s="48">
        <v>43830</v>
      </c>
      <c r="J19" s="47"/>
      <c r="K19" s="47"/>
      <c r="L19" s="34">
        <f t="shared" si="4"/>
        <v>10</v>
      </c>
    </row>
    <row r="20" spans="1:12" ht="15" thickBot="1">
      <c r="A20" s="47">
        <v>326</v>
      </c>
      <c r="B20" s="47" t="s">
        <v>31</v>
      </c>
      <c r="C20" s="47" t="s">
        <v>48</v>
      </c>
      <c r="D20" s="47" t="s">
        <v>33</v>
      </c>
      <c r="E20" s="48">
        <v>43770</v>
      </c>
      <c r="F20" s="47" t="s">
        <v>34</v>
      </c>
      <c r="G20" s="48">
        <v>43770</v>
      </c>
      <c r="H20" s="47"/>
      <c r="I20" s="48">
        <v>43830</v>
      </c>
      <c r="J20" s="47"/>
      <c r="K20" s="47"/>
      <c r="L20" s="34">
        <f t="shared" si="4"/>
        <v>11</v>
      </c>
    </row>
    <row r="21" spans="1:12" ht="15" thickBot="1">
      <c r="A21" s="47"/>
      <c r="B21" s="47"/>
      <c r="C21" s="47"/>
      <c r="D21" s="47"/>
      <c r="E21" s="48"/>
      <c r="F21" s="47"/>
      <c r="G21" s="48"/>
      <c r="H21" s="47"/>
      <c r="I21" s="48"/>
      <c r="J21" s="47"/>
      <c r="K21" s="47"/>
      <c r="L21" s="34" t="str">
        <f t="shared" si="4"/>
        <v/>
      </c>
    </row>
    <row r="22" spans="1:12" ht="15" thickBot="1">
      <c r="A22" s="47"/>
      <c r="B22" s="47"/>
      <c r="C22" s="47"/>
      <c r="D22" s="47"/>
      <c r="E22" s="48"/>
      <c r="F22" s="47"/>
      <c r="G22" s="48"/>
      <c r="H22" s="47"/>
      <c r="I22" s="48"/>
      <c r="J22" s="47"/>
      <c r="K22" s="47"/>
      <c r="L22" s="34" t="str">
        <f t="shared" si="4"/>
        <v/>
      </c>
    </row>
    <row r="23" spans="1:12" ht="15" thickBot="1">
      <c r="A23" s="47"/>
      <c r="B23" s="47"/>
      <c r="C23" s="47"/>
      <c r="D23" s="47"/>
      <c r="E23" s="48"/>
      <c r="F23" s="47"/>
      <c r="G23" s="48"/>
      <c r="H23" s="47"/>
      <c r="I23" s="48"/>
      <c r="J23" s="47"/>
      <c r="K23" s="47"/>
      <c r="L23" s="34" t="str">
        <f>+IF(E23=0,"",MONTH(E23))</f>
        <v/>
      </c>
    </row>
    <row r="24" spans="1:12" ht="15" thickBot="1">
      <c r="A24" s="47"/>
      <c r="B24" s="47"/>
      <c r="C24" s="47"/>
      <c r="D24" s="47"/>
      <c r="E24" s="48"/>
      <c r="F24" s="47"/>
      <c r="G24" s="48"/>
      <c r="H24" s="47"/>
      <c r="I24" s="48"/>
      <c r="J24" s="47"/>
      <c r="K24" s="47"/>
      <c r="L24" s="34" t="str">
        <f t="shared" si="4"/>
        <v/>
      </c>
    </row>
    <row r="25" spans="1:12" ht="15" thickBot="1">
      <c r="A25" s="47"/>
      <c r="B25" s="47"/>
      <c r="C25" s="47"/>
      <c r="D25" s="47"/>
      <c r="E25" s="48"/>
      <c r="F25" s="47"/>
      <c r="G25" s="48"/>
      <c r="H25" s="47"/>
      <c r="I25" s="48"/>
      <c r="J25" s="47"/>
      <c r="K25" s="47"/>
      <c r="L25" s="34" t="str">
        <f t="shared" si="4"/>
        <v/>
      </c>
    </row>
    <row r="26" spans="1:12" ht="15" thickBot="1">
      <c r="A26" s="47"/>
      <c r="B26" s="47"/>
      <c r="C26" s="47"/>
      <c r="D26" s="47"/>
      <c r="E26" s="48"/>
      <c r="F26" s="47"/>
      <c r="G26" s="48"/>
      <c r="H26" s="47"/>
      <c r="I26" s="48"/>
      <c r="J26" s="47"/>
      <c r="K26" s="47"/>
      <c r="L26" s="34" t="str">
        <f t="shared" si="4"/>
        <v/>
      </c>
    </row>
    <row r="27" spans="1:12" ht="15" thickBot="1">
      <c r="A27" s="47"/>
      <c r="B27" s="47"/>
      <c r="C27" s="47"/>
      <c r="D27" s="47"/>
      <c r="E27" s="48"/>
      <c r="F27" s="47"/>
      <c r="G27" s="48"/>
      <c r="H27" s="47"/>
      <c r="I27" s="48"/>
      <c r="J27" s="47"/>
      <c r="K27" s="47"/>
      <c r="L27" s="34" t="str">
        <f t="shared" si="4"/>
        <v/>
      </c>
    </row>
    <row r="28" spans="1:12" ht="15" thickBot="1">
      <c r="A28" s="47"/>
      <c r="B28" s="47"/>
      <c r="C28" s="47"/>
      <c r="D28" s="47"/>
      <c r="E28" s="48"/>
      <c r="F28" s="47"/>
      <c r="G28" s="48"/>
      <c r="H28" s="47"/>
      <c r="I28" s="48"/>
      <c r="J28" s="47"/>
      <c r="K28" s="47"/>
      <c r="L28" s="34" t="str">
        <f t="shared" si="4"/>
        <v/>
      </c>
    </row>
    <row r="29" spans="1:12" ht="15" thickBot="1">
      <c r="A29" s="47"/>
      <c r="B29" s="47"/>
      <c r="C29" s="47"/>
      <c r="D29" s="47"/>
      <c r="E29" s="48"/>
      <c r="F29" s="47"/>
      <c r="G29" s="48"/>
      <c r="H29" s="47"/>
      <c r="I29" s="48"/>
      <c r="J29" s="47"/>
      <c r="K29" s="47"/>
      <c r="L29" s="34" t="str">
        <f t="shared" si="4"/>
        <v/>
      </c>
    </row>
    <row r="30" spans="1:12" ht="15" thickBot="1">
      <c r="A30" s="47"/>
      <c r="B30" s="47"/>
      <c r="C30" s="47"/>
      <c r="D30" s="47"/>
      <c r="E30" s="48"/>
      <c r="F30" s="47"/>
      <c r="G30" s="48"/>
      <c r="H30" s="47"/>
      <c r="I30" s="48"/>
      <c r="J30" s="47"/>
      <c r="K30" s="47"/>
      <c r="L30" s="34" t="str">
        <f t="shared" si="4"/>
        <v/>
      </c>
    </row>
    <row r="31" spans="1:12" ht="15" thickBot="1">
      <c r="A31" s="47"/>
      <c r="B31" s="47"/>
      <c r="C31" s="47"/>
      <c r="D31" s="47"/>
      <c r="E31" s="48"/>
      <c r="F31" s="47"/>
      <c r="G31" s="48"/>
      <c r="H31" s="47"/>
      <c r="I31" s="48"/>
      <c r="J31" s="47"/>
      <c r="K31" s="47"/>
      <c r="L31" s="34" t="str">
        <f t="shared" si="4"/>
        <v/>
      </c>
    </row>
    <row r="32" spans="1:12">
      <c r="A32" s="49"/>
      <c r="B32" s="49"/>
      <c r="C32" s="49"/>
      <c r="D32" s="49"/>
      <c r="E32" s="50"/>
      <c r="F32" s="49"/>
      <c r="G32" s="50"/>
      <c r="H32" s="49"/>
      <c r="I32" s="50"/>
      <c r="J32" s="49"/>
      <c r="K32" s="49"/>
      <c r="L32" s="34" t="str">
        <f t="shared" si="4"/>
        <v/>
      </c>
    </row>
    <row r="33" spans="1:12">
      <c r="A33" s="49"/>
      <c r="B33" s="49"/>
      <c r="C33" s="49"/>
      <c r="D33" s="49"/>
      <c r="E33" s="50"/>
      <c r="F33" s="49"/>
      <c r="G33" s="50"/>
      <c r="H33" s="49"/>
      <c r="I33" s="50"/>
      <c r="J33" s="49"/>
      <c r="K33" s="49"/>
      <c r="L33" s="34" t="str">
        <f t="shared" si="4"/>
        <v/>
      </c>
    </row>
    <row r="34" spans="1:12" ht="15" thickBot="1">
      <c r="A34" s="51"/>
      <c r="B34" s="51"/>
      <c r="C34" s="51"/>
      <c r="D34" s="51"/>
      <c r="E34" s="52"/>
      <c r="F34" s="51"/>
      <c r="G34" s="52"/>
      <c r="H34" s="51"/>
      <c r="I34" s="52"/>
      <c r="J34" s="51"/>
      <c r="K34" s="51"/>
      <c r="L34" s="34" t="str">
        <f t="shared" si="4"/>
        <v/>
      </c>
    </row>
    <row r="35" spans="1:12" ht="15" thickBot="1">
      <c r="A35" s="51"/>
      <c r="B35" s="51"/>
      <c r="C35" s="51"/>
      <c r="D35" s="51"/>
      <c r="E35" s="52"/>
      <c r="F35" s="51"/>
      <c r="G35" s="52"/>
      <c r="H35" s="51"/>
      <c r="I35" s="52"/>
      <c r="J35" s="51"/>
      <c r="K35" s="51"/>
      <c r="L35" s="34" t="str">
        <f t="shared" si="4"/>
        <v/>
      </c>
    </row>
    <row r="36" spans="1:12" ht="15" thickBot="1">
      <c r="A36" s="51"/>
      <c r="B36" s="51"/>
      <c r="C36" s="51"/>
      <c r="D36" s="51"/>
      <c r="E36" s="52"/>
      <c r="F36" s="51"/>
      <c r="G36" s="52"/>
      <c r="H36" s="51"/>
      <c r="I36" s="52"/>
      <c r="J36" s="51"/>
      <c r="K36" s="51"/>
      <c r="L36" s="34" t="str">
        <f t="shared" si="4"/>
        <v/>
      </c>
    </row>
    <row r="37" spans="1:12" ht="15" thickBot="1">
      <c r="A37" s="51"/>
      <c r="B37" s="51"/>
      <c r="C37" s="51"/>
      <c r="D37" s="51"/>
      <c r="E37" s="52"/>
      <c r="F37" s="51"/>
      <c r="G37" s="52"/>
      <c r="H37" s="51"/>
      <c r="I37" s="52"/>
      <c r="J37" s="51"/>
      <c r="K37" s="51"/>
      <c r="L37" s="34" t="str">
        <f t="shared" si="4"/>
        <v/>
      </c>
    </row>
    <row r="38" spans="1:12" ht="15" thickBot="1">
      <c r="A38" s="51"/>
      <c r="B38" s="51"/>
      <c r="C38" s="51"/>
      <c r="D38" s="51"/>
      <c r="E38" s="52"/>
      <c r="F38" s="51"/>
      <c r="G38" s="52"/>
      <c r="H38" s="51"/>
      <c r="I38" s="52"/>
      <c r="J38" s="51"/>
      <c r="K38" s="51"/>
      <c r="L38" s="34" t="str">
        <f t="shared" si="4"/>
        <v/>
      </c>
    </row>
    <row r="39" spans="1:12">
      <c r="E39" s="54"/>
      <c r="G39" s="54"/>
      <c r="I39" s="54"/>
      <c r="L39" s="34" t="str">
        <f t="shared" si="4"/>
        <v/>
      </c>
    </row>
    <row r="40" spans="1:12">
      <c r="E40" s="54"/>
      <c r="G40" s="54"/>
      <c r="I40" s="54"/>
      <c r="L40" s="34" t="str">
        <f t="shared" si="4"/>
        <v/>
      </c>
    </row>
    <row r="41" spans="1:12">
      <c r="E41" s="54"/>
      <c r="G41" s="54"/>
      <c r="I41" s="54"/>
      <c r="L41" s="34" t="str">
        <f t="shared" si="4"/>
        <v/>
      </c>
    </row>
    <row r="42" spans="1:12">
      <c r="E42" s="54"/>
      <c r="G42" s="54"/>
      <c r="I42" s="54"/>
      <c r="L42" s="34" t="str">
        <f t="shared" si="4"/>
        <v/>
      </c>
    </row>
    <row r="43" spans="1:12">
      <c r="E43" s="54"/>
      <c r="G43" s="54"/>
      <c r="I43" s="54"/>
      <c r="L43" s="34" t="str">
        <f t="shared" si="4"/>
        <v/>
      </c>
    </row>
    <row r="44" spans="1:12">
      <c r="E44" s="54"/>
      <c r="G44" s="54"/>
      <c r="I44" s="54"/>
      <c r="L44" s="34" t="str">
        <f t="shared" si="4"/>
        <v/>
      </c>
    </row>
    <row r="45" spans="1:12">
      <c r="E45" s="54"/>
      <c r="G45" s="54"/>
      <c r="I45" s="54"/>
      <c r="L45" s="34" t="str">
        <f t="shared" si="4"/>
        <v/>
      </c>
    </row>
    <row r="46" spans="1:12">
      <c r="L46" s="34" t="str">
        <f t="shared" si="4"/>
        <v/>
      </c>
    </row>
    <row r="47" spans="1:12">
      <c r="L47" s="34" t="str">
        <f t="shared" si="4"/>
        <v/>
      </c>
    </row>
    <row r="48" spans="1:12">
      <c r="L48" s="34" t="str">
        <f t="shared" si="4"/>
        <v/>
      </c>
    </row>
    <row r="49" spans="12:12">
      <c r="L49" s="34" t="str">
        <f t="shared" si="4"/>
        <v/>
      </c>
    </row>
    <row r="50" spans="12:12">
      <c r="L50" s="34" t="str">
        <f t="shared" si="4"/>
        <v/>
      </c>
    </row>
    <row r="51" spans="12:12">
      <c r="L51" s="34" t="str">
        <f t="shared" si="4"/>
        <v/>
      </c>
    </row>
    <row r="52" spans="12:12">
      <c r="L52" s="34" t="str">
        <f t="shared" si="4"/>
        <v/>
      </c>
    </row>
    <row r="53" spans="12:12">
      <c r="L53" s="34" t="str">
        <f t="shared" si="4"/>
        <v/>
      </c>
    </row>
    <row r="54" spans="12:12">
      <c r="L54" s="34" t="str">
        <f t="shared" si="4"/>
        <v/>
      </c>
    </row>
    <row r="55" spans="12:12">
      <c r="L55" s="34" t="str">
        <f t="shared" si="4"/>
        <v/>
      </c>
    </row>
    <row r="56" spans="12:12">
      <c r="L56" s="34" t="str">
        <f t="shared" si="4"/>
        <v/>
      </c>
    </row>
    <row r="57" spans="12:12">
      <c r="L57" s="34" t="str">
        <f t="shared" si="4"/>
        <v/>
      </c>
    </row>
    <row r="58" spans="12:12">
      <c r="L58" s="34" t="str">
        <f t="shared" si="4"/>
        <v/>
      </c>
    </row>
    <row r="59" spans="12:12">
      <c r="L59" s="34" t="str">
        <f t="shared" si="4"/>
        <v/>
      </c>
    </row>
    <row r="60" spans="12:12">
      <c r="L60" s="34" t="str">
        <f t="shared" si="4"/>
        <v/>
      </c>
    </row>
    <row r="61" spans="12:12">
      <c r="L61" s="34" t="str">
        <f t="shared" si="4"/>
        <v/>
      </c>
    </row>
    <row r="62" spans="12:12">
      <c r="L62" s="34" t="str">
        <f t="shared" si="4"/>
        <v/>
      </c>
    </row>
    <row r="63" spans="12:12">
      <c r="L63" s="34" t="str">
        <f t="shared" si="4"/>
        <v/>
      </c>
    </row>
    <row r="64" spans="12:12">
      <c r="L64" s="34" t="str">
        <f t="shared" si="4"/>
        <v/>
      </c>
    </row>
    <row r="65" spans="12:12">
      <c r="L65" s="34" t="str">
        <f t="shared" si="4"/>
        <v/>
      </c>
    </row>
    <row r="66" spans="12:12">
      <c r="L66" s="34" t="str">
        <f t="shared" si="4"/>
        <v/>
      </c>
    </row>
    <row r="67" spans="12:12">
      <c r="L67" s="34" t="str">
        <f t="shared" si="4"/>
        <v/>
      </c>
    </row>
    <row r="68" spans="12:12">
      <c r="L68" s="34" t="str">
        <f t="shared" ref="L68:L131" si="5">+IF(E68=0,"",MONTH(E68))</f>
        <v/>
      </c>
    </row>
    <row r="69" spans="12:12">
      <c r="L69" s="34" t="str">
        <f t="shared" si="5"/>
        <v/>
      </c>
    </row>
    <row r="70" spans="12:12">
      <c r="L70" s="34" t="str">
        <f t="shared" si="5"/>
        <v/>
      </c>
    </row>
    <row r="71" spans="12:12">
      <c r="L71" s="34" t="str">
        <f t="shared" si="5"/>
        <v/>
      </c>
    </row>
    <row r="72" spans="12:12">
      <c r="L72" s="34" t="str">
        <f t="shared" si="5"/>
        <v/>
      </c>
    </row>
    <row r="73" spans="12:12">
      <c r="L73" s="34" t="str">
        <f t="shared" si="5"/>
        <v/>
      </c>
    </row>
    <row r="74" spans="12:12">
      <c r="L74" s="34" t="str">
        <f t="shared" si="5"/>
        <v/>
      </c>
    </row>
    <row r="75" spans="12:12">
      <c r="L75" s="34" t="str">
        <f t="shared" si="5"/>
        <v/>
      </c>
    </row>
    <row r="76" spans="12:12">
      <c r="L76" s="34" t="str">
        <f t="shared" si="5"/>
        <v/>
      </c>
    </row>
    <row r="77" spans="12:12">
      <c r="L77" s="34" t="str">
        <f t="shared" si="5"/>
        <v/>
      </c>
    </row>
    <row r="78" spans="12:12">
      <c r="L78" s="34" t="str">
        <f t="shared" si="5"/>
        <v/>
      </c>
    </row>
    <row r="79" spans="12:12">
      <c r="L79" s="34" t="str">
        <f t="shared" si="5"/>
        <v/>
      </c>
    </row>
    <row r="80" spans="12:12">
      <c r="L80" s="34" t="str">
        <f t="shared" si="5"/>
        <v/>
      </c>
    </row>
    <row r="81" spans="12:12">
      <c r="L81" s="34" t="str">
        <f t="shared" si="5"/>
        <v/>
      </c>
    </row>
    <row r="82" spans="12:12">
      <c r="L82" s="34" t="str">
        <f t="shared" si="5"/>
        <v/>
      </c>
    </row>
    <row r="83" spans="12:12">
      <c r="L83" s="34" t="str">
        <f t="shared" si="5"/>
        <v/>
      </c>
    </row>
    <row r="84" spans="12:12">
      <c r="L84" s="34" t="str">
        <f t="shared" si="5"/>
        <v/>
      </c>
    </row>
    <row r="85" spans="12:12">
      <c r="L85" s="34" t="str">
        <f t="shared" si="5"/>
        <v/>
      </c>
    </row>
    <row r="86" spans="12:12">
      <c r="L86" s="34" t="str">
        <f t="shared" si="5"/>
        <v/>
      </c>
    </row>
    <row r="87" spans="12:12">
      <c r="L87" s="34" t="str">
        <f t="shared" si="5"/>
        <v/>
      </c>
    </row>
    <row r="88" spans="12:12">
      <c r="L88" s="34" t="str">
        <f t="shared" si="5"/>
        <v/>
      </c>
    </row>
    <row r="89" spans="12:12">
      <c r="L89" s="34" t="str">
        <f t="shared" si="5"/>
        <v/>
      </c>
    </row>
    <row r="90" spans="12:12">
      <c r="L90" s="34" t="str">
        <f t="shared" si="5"/>
        <v/>
      </c>
    </row>
    <row r="91" spans="12:12">
      <c r="L91" s="34" t="str">
        <f t="shared" si="5"/>
        <v/>
      </c>
    </row>
    <row r="92" spans="12:12">
      <c r="L92" s="34" t="str">
        <f t="shared" si="5"/>
        <v/>
      </c>
    </row>
    <row r="93" spans="12:12">
      <c r="L93" s="34" t="str">
        <f t="shared" si="5"/>
        <v/>
      </c>
    </row>
    <row r="94" spans="12:12">
      <c r="L94" s="34" t="str">
        <f t="shared" si="5"/>
        <v/>
      </c>
    </row>
    <row r="95" spans="12:12">
      <c r="L95" s="34" t="str">
        <f t="shared" si="5"/>
        <v/>
      </c>
    </row>
    <row r="96" spans="12:12">
      <c r="L96" s="34" t="str">
        <f t="shared" si="5"/>
        <v/>
      </c>
    </row>
    <row r="97" spans="12:12">
      <c r="L97" s="34" t="str">
        <f t="shared" si="5"/>
        <v/>
      </c>
    </row>
    <row r="98" spans="12:12">
      <c r="L98" s="34" t="str">
        <f t="shared" si="5"/>
        <v/>
      </c>
    </row>
    <row r="99" spans="12:12">
      <c r="L99" s="34" t="str">
        <f t="shared" si="5"/>
        <v/>
      </c>
    </row>
    <row r="100" spans="12:12">
      <c r="L100" s="34" t="str">
        <f t="shared" si="5"/>
        <v/>
      </c>
    </row>
    <row r="101" spans="12:12">
      <c r="L101" s="34" t="str">
        <f t="shared" si="5"/>
        <v/>
      </c>
    </row>
    <row r="102" spans="12:12">
      <c r="L102" s="34" t="str">
        <f t="shared" si="5"/>
        <v/>
      </c>
    </row>
    <row r="103" spans="12:12">
      <c r="L103" s="34" t="str">
        <f t="shared" si="5"/>
        <v/>
      </c>
    </row>
    <row r="104" spans="12:12">
      <c r="L104" s="34" t="str">
        <f t="shared" si="5"/>
        <v/>
      </c>
    </row>
    <row r="105" spans="12:12">
      <c r="L105" s="34" t="str">
        <f t="shared" si="5"/>
        <v/>
      </c>
    </row>
    <row r="106" spans="12:12">
      <c r="L106" s="34" t="str">
        <f t="shared" si="5"/>
        <v/>
      </c>
    </row>
    <row r="107" spans="12:12">
      <c r="L107" s="34" t="str">
        <f t="shared" si="5"/>
        <v/>
      </c>
    </row>
    <row r="108" spans="12:12">
      <c r="L108" s="34" t="str">
        <f t="shared" si="5"/>
        <v/>
      </c>
    </row>
    <row r="109" spans="12:12">
      <c r="L109" s="34" t="str">
        <f t="shared" si="5"/>
        <v/>
      </c>
    </row>
    <row r="110" spans="12:12">
      <c r="L110" s="34" t="str">
        <f t="shared" si="5"/>
        <v/>
      </c>
    </row>
    <row r="111" spans="12:12">
      <c r="L111" s="34" t="str">
        <f t="shared" si="5"/>
        <v/>
      </c>
    </row>
    <row r="112" spans="12:12">
      <c r="L112" s="34" t="str">
        <f t="shared" si="5"/>
        <v/>
      </c>
    </row>
    <row r="113" spans="12:12">
      <c r="L113" s="34" t="str">
        <f t="shared" si="5"/>
        <v/>
      </c>
    </row>
    <row r="114" spans="12:12">
      <c r="L114" s="34" t="str">
        <f t="shared" si="5"/>
        <v/>
      </c>
    </row>
    <row r="115" spans="12:12">
      <c r="L115" s="34" t="str">
        <f t="shared" si="5"/>
        <v/>
      </c>
    </row>
    <row r="116" spans="12:12">
      <c r="L116" s="34" t="str">
        <f t="shared" si="5"/>
        <v/>
      </c>
    </row>
    <row r="117" spans="12:12">
      <c r="L117" s="34" t="str">
        <f t="shared" si="5"/>
        <v/>
      </c>
    </row>
    <row r="118" spans="12:12">
      <c r="L118" s="34" t="str">
        <f t="shared" si="5"/>
        <v/>
      </c>
    </row>
    <row r="119" spans="12:12">
      <c r="L119" s="34" t="str">
        <f t="shared" si="5"/>
        <v/>
      </c>
    </row>
    <row r="120" spans="12:12">
      <c r="L120" s="34" t="str">
        <f t="shared" si="5"/>
        <v/>
      </c>
    </row>
    <row r="121" spans="12:12">
      <c r="L121" s="34" t="str">
        <f t="shared" si="5"/>
        <v/>
      </c>
    </row>
    <row r="122" spans="12:12">
      <c r="L122" s="34" t="str">
        <f t="shared" si="5"/>
        <v/>
      </c>
    </row>
    <row r="123" spans="12:12">
      <c r="L123" s="34" t="str">
        <f t="shared" si="5"/>
        <v/>
      </c>
    </row>
    <row r="124" spans="12:12">
      <c r="L124" s="34" t="str">
        <f t="shared" si="5"/>
        <v/>
      </c>
    </row>
    <row r="125" spans="12:12">
      <c r="L125" s="34" t="str">
        <f t="shared" si="5"/>
        <v/>
      </c>
    </row>
    <row r="126" spans="12:12">
      <c r="L126" s="34" t="str">
        <f t="shared" si="5"/>
        <v/>
      </c>
    </row>
    <row r="127" spans="12:12">
      <c r="L127" s="34" t="str">
        <f t="shared" si="5"/>
        <v/>
      </c>
    </row>
    <row r="128" spans="12:12">
      <c r="L128" s="34" t="str">
        <f t="shared" si="5"/>
        <v/>
      </c>
    </row>
    <row r="129" spans="12:12">
      <c r="L129" s="34" t="str">
        <f t="shared" si="5"/>
        <v/>
      </c>
    </row>
    <row r="130" spans="12:12">
      <c r="L130" s="34" t="str">
        <f t="shared" si="5"/>
        <v/>
      </c>
    </row>
    <row r="131" spans="12:12">
      <c r="L131" s="34" t="str">
        <f t="shared" si="5"/>
        <v/>
      </c>
    </row>
    <row r="132" spans="12:12">
      <c r="L132" s="34" t="str">
        <f t="shared" ref="L132:L141" si="6">+IF(E132=0,"",MONTH(E132))</f>
        <v/>
      </c>
    </row>
    <row r="133" spans="12:12">
      <c r="L133" s="34" t="str">
        <f t="shared" si="6"/>
        <v/>
      </c>
    </row>
    <row r="134" spans="12:12">
      <c r="L134" s="34" t="str">
        <f t="shared" si="6"/>
        <v/>
      </c>
    </row>
    <row r="135" spans="12:12">
      <c r="L135" s="34" t="str">
        <f t="shared" si="6"/>
        <v/>
      </c>
    </row>
    <row r="136" spans="12:12">
      <c r="L136" s="34" t="str">
        <f t="shared" si="6"/>
        <v/>
      </c>
    </row>
    <row r="137" spans="12:12">
      <c r="L137" s="34" t="str">
        <f t="shared" si="6"/>
        <v/>
      </c>
    </row>
    <row r="138" spans="12:12">
      <c r="L138" s="34" t="str">
        <f t="shared" si="6"/>
        <v/>
      </c>
    </row>
    <row r="139" spans="12:12">
      <c r="L139" s="34" t="str">
        <f t="shared" si="6"/>
        <v/>
      </c>
    </row>
    <row r="140" spans="12:12">
      <c r="L140" s="34" t="str">
        <f t="shared" si="6"/>
        <v/>
      </c>
    </row>
    <row r="141" spans="12:12">
      <c r="L141" s="34" t="str">
        <f t="shared" si="6"/>
        <v/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026C-20DA-4A21-8F47-CABB70CC6915}">
  <dimension ref="A1:AD197"/>
  <sheetViews>
    <sheetView workbookViewId="0">
      <selection activeCell="AA15" sqref="Z4:AA15"/>
    </sheetView>
  </sheetViews>
  <sheetFormatPr defaultColWidth="11.42578125" defaultRowHeight="14.45"/>
  <cols>
    <col min="1" max="1" width="16" customWidth="1"/>
    <col min="2" max="2" width="4.42578125" customWidth="1"/>
    <col min="8" max="12" width="11.42578125" style="6"/>
    <col min="13" max="13" width="10" customWidth="1"/>
    <col min="14" max="14" width="10.5703125" bestFit="1" customWidth="1"/>
    <col min="15" max="18" width="10.5703125" customWidth="1"/>
    <col min="19" max="19" width="7.85546875" bestFit="1" customWidth="1"/>
    <col min="20" max="20" width="9.42578125" customWidth="1"/>
    <col min="21" max="21" width="3.42578125" customWidth="1"/>
    <col min="23" max="23" width="2.42578125" customWidth="1"/>
    <col min="26" max="26" width="13.7109375" customWidth="1"/>
  </cols>
  <sheetData>
    <row r="1" spans="1:30">
      <c r="I1" s="4"/>
      <c r="J1" s="4"/>
      <c r="K1" s="4"/>
      <c r="L1" s="4"/>
      <c r="M1" s="69" t="s">
        <v>1</v>
      </c>
      <c r="N1" s="69"/>
      <c r="O1" s="69"/>
      <c r="P1" s="69"/>
      <c r="Q1" s="69" t="s">
        <v>49</v>
      </c>
      <c r="R1" s="69"/>
      <c r="S1" s="69"/>
      <c r="T1" s="69"/>
      <c r="W1" s="4"/>
    </row>
    <row r="2" spans="1:30">
      <c r="A2" t="s">
        <v>50</v>
      </c>
      <c r="C2" s="4" t="s">
        <v>1</v>
      </c>
      <c r="D2" s="5" t="s">
        <v>49</v>
      </c>
      <c r="E2" s="5"/>
      <c r="I2"/>
      <c r="J2" s="5"/>
      <c r="K2" s="8" t="s">
        <v>51</v>
      </c>
      <c r="L2" s="8" t="s">
        <v>52</v>
      </c>
      <c r="M2" s="11"/>
      <c r="N2" s="61" t="s">
        <v>53</v>
      </c>
      <c r="O2" s="11" t="s">
        <v>51</v>
      </c>
      <c r="P2" s="11" t="s">
        <v>54</v>
      </c>
      <c r="Q2" s="11"/>
      <c r="R2" s="61" t="s">
        <v>53</v>
      </c>
      <c r="S2" s="11" t="s">
        <v>51</v>
      </c>
      <c r="T2" s="11" t="s">
        <v>54</v>
      </c>
      <c r="X2">
        <v>5.97</v>
      </c>
      <c r="Y2" t="s">
        <v>55</v>
      </c>
      <c r="Z2" t="s">
        <v>56</v>
      </c>
      <c r="AA2" t="s">
        <v>56</v>
      </c>
      <c r="AC2" s="4" t="s">
        <v>56</v>
      </c>
      <c r="AD2" s="4" t="s">
        <v>56</v>
      </c>
    </row>
    <row r="3" spans="1:30">
      <c r="A3" t="s">
        <v>30</v>
      </c>
      <c r="B3">
        <v>1</v>
      </c>
      <c r="C3" s="58">
        <f>+AC4</f>
        <v>5.29</v>
      </c>
      <c r="D3" s="58">
        <f t="shared" ref="D3:D14" si="0">+AD4</f>
        <v>5.27</v>
      </c>
      <c r="F3">
        <v>1</v>
      </c>
      <c r="G3" s="1">
        <v>0.123</v>
      </c>
      <c r="I3">
        <v>1</v>
      </c>
      <c r="J3" t="s">
        <v>30</v>
      </c>
      <c r="K3" t="str">
        <f>+IF(Melkepriskalender!$I$3="Landet",Data!S3,Data!O3)</f>
        <v>Jan 2 200,-</v>
      </c>
      <c r="L3" t="str">
        <f>+IF(Melkepriskalender!$I$3="Landet",Data!T3,Data!P3)</f>
        <v>Jan 0,-</v>
      </c>
      <c r="M3" s="10">
        <f t="shared" ref="M3:M14" si="1">+SUMIF(C:C,$I3,$J:$J)-$J$20</f>
        <v>2243.0699999999924</v>
      </c>
      <c r="N3" s="10">
        <f>+IF(Melkepriskalender!$I$6&lt;12000,ROUND(M3,-2),ROUND(M3/1000,0))</f>
        <v>2200</v>
      </c>
      <c r="O3" s="9" t="str">
        <f>+IF(Melkepriskalender!$I$6&lt;12000,IF(N3&gt;=1000,($J3&amp;" "&amp;LEFT(N3,1)&amp;" "&amp;RIGHT(N3,3)&amp;",-"),($J3&amp;" "&amp;N3&amp;",-")),($J3&amp;" "&amp;N3&amp;"',-"))</f>
        <v>Jan 2 200,-</v>
      </c>
      <c r="P3" s="9" t="str">
        <f>+IF(Melkepriskalender!$I$6&lt;12000,IF(N12&gt;=1000,($J3&amp;" "&amp;LEFT(N12,1)&amp;" "&amp;RIGHT(N12,3)&amp;",-"),($J3&amp;" "&amp;N12&amp;",-")),($J3&amp;" "&amp;N12&amp;"',-"))</f>
        <v>Jan 0,-</v>
      </c>
      <c r="Q3" s="10">
        <f t="shared" ref="Q3:Q14" si="2">+SUMIF(C:C,$I3,$K:$K)-$K$20</f>
        <v>1801.0499999999956</v>
      </c>
      <c r="R3" s="10">
        <f>+IF(Melkepriskalender!$I$6&lt;12000,ROUND(Q3,-2),ROUND(Q3/1000,0))</f>
        <v>1800</v>
      </c>
      <c r="S3" s="9" t="str">
        <f>+IF(Melkepriskalender!$I$6&lt;12000,IF(R3&gt;=1000,($J3&amp;" "&amp;LEFT(R3,1)&amp;" "&amp;RIGHT(R3,3)&amp;",-"),($J3&amp;" "&amp;R3&amp;",-")),($J3&amp;" "&amp;R3&amp;"',-"))</f>
        <v>Jan 1 800,-</v>
      </c>
      <c r="T3" s="9" t="str">
        <f>+IF(Melkepriskalender!$I$6&lt;12000,IF(R12&gt;=1000,($J3&amp;" "&amp;LEFT(R12,1)&amp;" "&amp;RIGHT(R12,3)&amp;",-"),($J3&amp;" "&amp;R12&amp;",-")),($J3&amp;" "&amp;R12&amp;"',-"))</f>
        <v>Jan 0,-</v>
      </c>
      <c r="U3">
        <v>1</v>
      </c>
      <c r="Z3" t="s">
        <v>57</v>
      </c>
      <c r="AA3" t="s">
        <v>49</v>
      </c>
      <c r="AC3" s="4" t="s">
        <v>57</v>
      </c>
      <c r="AD3" s="4" t="s">
        <v>49</v>
      </c>
    </row>
    <row r="4" spans="1:30">
      <c r="A4" t="s">
        <v>35</v>
      </c>
      <c r="B4">
        <f>+B3+1</f>
        <v>2</v>
      </c>
      <c r="C4" s="58">
        <f t="shared" ref="C4:C14" si="3">+AC5</f>
        <v>5.29</v>
      </c>
      <c r="D4" s="58">
        <f t="shared" si="0"/>
        <v>5.27</v>
      </c>
      <c r="F4">
        <v>2</v>
      </c>
      <c r="G4" s="1">
        <v>0.14000000000000001</v>
      </c>
      <c r="I4">
        <f>+I3+1</f>
        <v>2</v>
      </c>
      <c r="J4" t="s">
        <v>35</v>
      </c>
      <c r="K4" t="str">
        <f>+IF(Melkepriskalender!$I$3="Landet",Data!S4,Data!O4)</f>
        <v>Feb 3 200,-</v>
      </c>
      <c r="L4" t="str">
        <f>+IF(Melkepriskalender!$I$3="Landet",Data!T4,Data!P4)</f>
        <v>Feb 700,-</v>
      </c>
      <c r="M4" s="10">
        <f t="shared" si="1"/>
        <v>3171.9300000000003</v>
      </c>
      <c r="N4" s="10">
        <f>+IF(Melkepriskalender!$I$6&lt;12000,ROUND(M4,-2),ROUND(M4/1000,0))</f>
        <v>3200</v>
      </c>
      <c r="O4" s="9" t="str">
        <f>+IF(Melkepriskalender!$I$6&lt;12000,IF(N4&gt;=1000,($J4&amp;" "&amp;LEFT(N4,1)&amp;" "&amp;RIGHT(N4,3)&amp;",-"),($J4&amp;" "&amp;N4&amp;",-")),($J4&amp;" "&amp;N4&amp;"',-"))</f>
        <v>Feb 3 200,-</v>
      </c>
      <c r="P4" s="9" t="str">
        <f>+IF(Melkepriskalender!$I$6&lt;12000,IF(N13&gt;=1000,($J4&amp;" "&amp;LEFT(N13,1)&amp;" "&amp;RIGHT(N13,3)&amp;",-"),($J4&amp;" "&amp;N13&amp;",-")),($J4&amp;" "&amp;N13&amp;"',-"))</f>
        <v>Feb 700,-</v>
      </c>
      <c r="Q4" s="10">
        <f t="shared" si="2"/>
        <v>2674.0499999999956</v>
      </c>
      <c r="R4" s="10">
        <f>+IF(Melkepriskalender!$I$6&lt;12000,ROUND(Q4,-2),ROUND(Q4/1000,0))</f>
        <v>2700</v>
      </c>
      <c r="S4" s="9" t="str">
        <f>+IF(Melkepriskalender!$I$6&lt;12000,IF(R4&gt;=1000,($J4&amp;" "&amp;LEFT(R4,1)&amp;" "&amp;RIGHT(R4,3)&amp;",-"),($J4&amp;" "&amp;R4&amp;",-")),($J4&amp;" "&amp;R4&amp;"',-"))</f>
        <v>Feb 2 700,-</v>
      </c>
      <c r="T4" s="9" t="str">
        <f>+IF(Melkepriskalender!$I$6&lt;12000,IF(R13&gt;=1000,($J4&amp;" "&amp;LEFT(R13,1)&amp;" "&amp;RIGHT(R13,3)&amp;",-"),($J4&amp;" "&amp;R13&amp;",-")),($J4&amp;" "&amp;R13&amp;"',-"))</f>
        <v>Feb 500,-</v>
      </c>
      <c r="U4">
        <v>1</v>
      </c>
      <c r="X4" t="s">
        <v>58</v>
      </c>
      <c r="Y4" s="65"/>
      <c r="Z4" s="65">
        <v>-0.68</v>
      </c>
      <c r="AA4" s="65">
        <v>-0.7</v>
      </c>
      <c r="AC4">
        <f>+$X$2+$Y4+Z4</f>
        <v>5.29</v>
      </c>
      <c r="AD4">
        <f t="shared" ref="AD4:AD15" si="4">+$X$2+$Y4+AA4</f>
        <v>5.27</v>
      </c>
    </row>
    <row r="5" spans="1:30">
      <c r="A5" t="s">
        <v>36</v>
      </c>
      <c r="B5">
        <f t="shared" ref="B5:B14" si="5">+B4+1</f>
        <v>3</v>
      </c>
      <c r="C5" s="58">
        <f t="shared" si="3"/>
        <v>5.29</v>
      </c>
      <c r="D5" s="58">
        <f t="shared" si="0"/>
        <v>5.27</v>
      </c>
      <c r="F5">
        <v>3</v>
      </c>
      <c r="G5" s="1">
        <v>0.13600000000000001</v>
      </c>
      <c r="I5">
        <f t="shared" ref="I5:I14" si="6">+I4+1</f>
        <v>3</v>
      </c>
      <c r="J5" t="s">
        <v>36</v>
      </c>
      <c r="K5" t="str">
        <f>+IF(Melkepriskalender!$I$3="Landet",Data!S5,Data!O5)</f>
        <v>Mar 4 100,-</v>
      </c>
      <c r="L5" t="str">
        <f>+IF(Melkepriskalender!$I$3="Landet",Data!T5,Data!P5)</f>
        <v>Mar 1 600,-</v>
      </c>
      <c r="M5" s="10">
        <f t="shared" si="1"/>
        <v>4126.3349999999846</v>
      </c>
      <c r="N5" s="10">
        <f>+IF(Melkepriskalender!$I$6&lt;12000,ROUND(M5,-2),ROUND(M5/1000,0))</f>
        <v>4100</v>
      </c>
      <c r="O5" s="9" t="str">
        <f>+IF(Melkepriskalender!$I$6&lt;12000,IF(N5&gt;=1000,($J5&amp;" "&amp;LEFT(N5,1)&amp;" "&amp;RIGHT(N5,3)&amp;",-"),($J5&amp;" "&amp;N5&amp;",-")),($J5&amp;" "&amp;N5&amp;"',-"))</f>
        <v>Mar 4 100,-</v>
      </c>
      <c r="P5" s="9" t="str">
        <f>+IF(Melkepriskalender!$I$6&lt;12000,IF(N14&gt;=1000,($J5&amp;" "&amp;LEFT(N14,1)&amp;" "&amp;RIGHT(N14,3)&amp;",-"),($J5&amp;" "&amp;N14&amp;",-")),($J5&amp;" "&amp;N14&amp;"',-"))</f>
        <v>Mar 1 600,-</v>
      </c>
      <c r="Q5" s="10">
        <f t="shared" si="2"/>
        <v>3568.9499999999898</v>
      </c>
      <c r="R5" s="10">
        <f>+IF(Melkepriskalender!$I$6&lt;12000,ROUND(Q5,-2),ROUND(Q5/1000,0))</f>
        <v>3600</v>
      </c>
      <c r="S5" s="9" t="str">
        <f>+IF(Melkepriskalender!$I$6&lt;12000,IF(R5&gt;=1000,($J5&amp;" "&amp;LEFT(R5,1)&amp;" "&amp;RIGHT(R5,3)&amp;",-"),($J5&amp;" "&amp;R5&amp;",-")),($J5&amp;" "&amp;R5&amp;"',-"))</f>
        <v>Mar 3 600,-</v>
      </c>
      <c r="T5" s="9" t="str">
        <f>+IF(Melkepriskalender!$I$6&lt;12000,IF(R14&gt;=1000,($J5&amp;" "&amp;LEFT(R14,1)&amp;" "&amp;RIGHT(R14,3)&amp;",-"),($J5&amp;" "&amp;R14&amp;",-")),($J5&amp;" "&amp;R14&amp;"',-"))</f>
        <v>Mar 1 300,-</v>
      </c>
      <c r="U5">
        <v>1</v>
      </c>
      <c r="X5" t="s">
        <v>59</v>
      </c>
      <c r="Y5" s="65"/>
      <c r="Z5" s="65">
        <v>-0.68</v>
      </c>
      <c r="AA5" s="65">
        <v>-0.7</v>
      </c>
      <c r="AC5">
        <f t="shared" ref="AC5:AC15" si="7">+$X$2+$Y5+Z5</f>
        <v>5.29</v>
      </c>
      <c r="AD5">
        <f t="shared" si="4"/>
        <v>5.27</v>
      </c>
    </row>
    <row r="6" spans="1:30">
      <c r="A6" t="s">
        <v>38</v>
      </c>
      <c r="B6">
        <f t="shared" si="5"/>
        <v>4</v>
      </c>
      <c r="C6" s="58">
        <f t="shared" si="3"/>
        <v>5.29</v>
      </c>
      <c r="D6" s="58">
        <f t="shared" si="0"/>
        <v>5.27</v>
      </c>
      <c r="F6">
        <v>4</v>
      </c>
      <c r="G6" s="1">
        <v>0.112</v>
      </c>
      <c r="I6">
        <f t="shared" si="6"/>
        <v>4</v>
      </c>
      <c r="J6" t="s">
        <v>38</v>
      </c>
      <c r="K6" t="str">
        <f>+IF(Melkepriskalender!$I$3="Landet",Data!S6,Data!O6)</f>
        <v>Apr 5 100,-</v>
      </c>
      <c r="L6" t="str">
        <f>+IF(Melkepriskalender!$I$3="Landet",Data!T6,Data!P6)</f>
        <v>Apr 2 200,-</v>
      </c>
      <c r="M6" s="10">
        <f t="shared" si="1"/>
        <v>5067.419999999991</v>
      </c>
      <c r="N6" s="10">
        <f>+IF(Melkepriskalender!$I$6&lt;12000,ROUND(M6,-2),ROUND(M6/1000,0))</f>
        <v>5100</v>
      </c>
      <c r="O6" s="9" t="str">
        <f>+IF(Melkepriskalender!$I$6&lt;12000,IF(N6&gt;=1000,($J6&amp;" "&amp;LEFT(N6,1)&amp;" "&amp;RIGHT(N6,3)&amp;",-"),($J6&amp;" "&amp;N6&amp;",-")),($J6&amp;" "&amp;N6&amp;"',-"))</f>
        <v>Apr 5 100,-</v>
      </c>
      <c r="P6" s="9" t="str">
        <f>+IF(Melkepriskalender!$I$6&lt;12000,IF(N3&gt;=1000,($J6&amp;" "&amp;LEFT(N3,1)&amp;" "&amp;RIGHT(N3,3)&amp;",-"),($J6&amp;" "&amp;N3&amp;",-")),($J6&amp;" "&amp;N3&amp;"',-"))</f>
        <v>Apr 2 200,-</v>
      </c>
      <c r="Q6" s="10">
        <f t="shared" si="2"/>
        <v>4411.080000000009</v>
      </c>
      <c r="R6" s="10">
        <f>+IF(Melkepriskalender!$I$6&lt;12000,ROUND(Q6,-2),ROUND(Q6/1000,0))</f>
        <v>4400</v>
      </c>
      <c r="S6" s="9" t="str">
        <f>+IF(Melkepriskalender!$I$6&lt;12000,IF(R6&gt;=1000,($J6&amp;" "&amp;LEFT(R6,1)&amp;" "&amp;RIGHT(R6,3)&amp;",-"),($J6&amp;" "&amp;R6&amp;",-")),($J6&amp;" "&amp;R6&amp;"',-"))</f>
        <v>Apr 4 400,-</v>
      </c>
      <c r="T6" s="9" t="str">
        <f>+IF(Melkepriskalender!$I$6&lt;12000,IF(R3&gt;=1000,($J6&amp;" "&amp;LEFT(R3,1)&amp;" "&amp;RIGHT(R3,3)&amp;",-"),($J6&amp;" "&amp;R3&amp;",-")),($J6&amp;" "&amp;R3&amp;"',-"))</f>
        <v>Apr 1 800,-</v>
      </c>
      <c r="U6">
        <v>1</v>
      </c>
      <c r="X6" t="s">
        <v>60</v>
      </c>
      <c r="Y6" s="65"/>
      <c r="Z6" s="65">
        <v>-0.68</v>
      </c>
      <c r="AA6" s="65">
        <v>-0.7</v>
      </c>
      <c r="AC6">
        <f t="shared" si="7"/>
        <v>5.29</v>
      </c>
      <c r="AD6">
        <f t="shared" si="4"/>
        <v>5.27</v>
      </c>
    </row>
    <row r="7" spans="1:30">
      <c r="A7" t="s">
        <v>39</v>
      </c>
      <c r="B7">
        <f t="shared" si="5"/>
        <v>5</v>
      </c>
      <c r="C7" s="58">
        <f t="shared" si="3"/>
        <v>5.37</v>
      </c>
      <c r="D7" s="58">
        <f t="shared" si="0"/>
        <v>5.37</v>
      </c>
      <c r="F7">
        <v>5</v>
      </c>
      <c r="G7" s="1">
        <v>0.105</v>
      </c>
      <c r="I7">
        <f t="shared" si="6"/>
        <v>5</v>
      </c>
      <c r="J7" t="s">
        <v>39</v>
      </c>
      <c r="K7" t="str">
        <f>+IF(Melkepriskalender!$I$3="Landet",Data!S7,Data!O7)</f>
        <v>Mai 5 900,-</v>
      </c>
      <c r="L7" t="str">
        <f>+IF(Melkepriskalender!$I$3="Landet",Data!T7,Data!P7)</f>
        <v>Mai 3 200,-</v>
      </c>
      <c r="M7" s="10">
        <f t="shared" si="1"/>
        <v>5913.1349999999875</v>
      </c>
      <c r="N7" s="10">
        <f>+IF(Melkepriskalender!$I$6&lt;12000,ROUND(M7,-2),ROUND(M7/1000,0))</f>
        <v>5900</v>
      </c>
      <c r="O7" s="9" t="str">
        <f>+IF(Melkepriskalender!$I$6&lt;12000,IF(N7&gt;=1000,($J7&amp;" "&amp;LEFT(N7,1)&amp;" "&amp;RIGHT(N7,3)&amp;",-"),($J7&amp;" "&amp;N7&amp;",-")),($J7&amp;" "&amp;N7&amp;"',-"))</f>
        <v>Mai 5 900,-</v>
      </c>
      <c r="P7" s="9" t="str">
        <f>+IF(Melkepriskalender!$I$6&lt;12000,IF(N4&gt;=1000,($J7&amp;" "&amp;LEFT(N4,1)&amp;" "&amp;RIGHT(N4,3)&amp;",-"),($J7&amp;" "&amp;N4&amp;",-")),($J7&amp;" "&amp;N4&amp;"',-"))</f>
        <v>Mai 3 200,-</v>
      </c>
      <c r="Q7" s="10">
        <f t="shared" si="2"/>
        <v>5168.8500000000058</v>
      </c>
      <c r="R7" s="10">
        <f>+IF(Melkepriskalender!$I$6&lt;12000,ROUND(Q7,-2),ROUND(Q7/1000,0))</f>
        <v>5200</v>
      </c>
      <c r="S7" s="9" t="str">
        <f>+IF(Melkepriskalender!$I$6&lt;12000,IF(R7&gt;=1000,($J7&amp;" "&amp;LEFT(R7,1)&amp;" "&amp;RIGHT(R7,3)&amp;",-"),($J7&amp;" "&amp;R7&amp;",-")),($J7&amp;" "&amp;R7&amp;"',-"))</f>
        <v>Mai 5 200,-</v>
      </c>
      <c r="T7" s="9" t="str">
        <f>+IF(Melkepriskalender!$I$6&lt;12000,IF(R4&gt;=1000,($J7&amp;" "&amp;LEFT(R4,1)&amp;" "&amp;RIGHT(R4,3)&amp;",-"),($J7&amp;" "&amp;R4&amp;",-")),($J7&amp;" "&amp;R4&amp;"',-"))</f>
        <v>Mai 2 700,-</v>
      </c>
      <c r="U7">
        <v>1</v>
      </c>
      <c r="X7" t="s">
        <v>61</v>
      </c>
      <c r="Y7" s="65"/>
      <c r="Z7" s="65">
        <v>-0.68</v>
      </c>
      <c r="AA7" s="65">
        <v>-0.7</v>
      </c>
      <c r="AC7">
        <f t="shared" si="7"/>
        <v>5.29</v>
      </c>
      <c r="AD7">
        <f t="shared" si="4"/>
        <v>5.27</v>
      </c>
    </row>
    <row r="8" spans="1:30">
      <c r="A8" t="s">
        <v>40</v>
      </c>
      <c r="B8">
        <f t="shared" si="5"/>
        <v>6</v>
      </c>
      <c r="C8" s="58">
        <f t="shared" si="3"/>
        <v>6.77</v>
      </c>
      <c r="D8" s="58">
        <f t="shared" si="0"/>
        <v>6.47</v>
      </c>
      <c r="F8">
        <v>6</v>
      </c>
      <c r="G8" s="1">
        <v>9.5000000000000001E-2</v>
      </c>
      <c r="I8">
        <f t="shared" si="6"/>
        <v>6</v>
      </c>
      <c r="J8" t="s">
        <v>40</v>
      </c>
      <c r="K8" t="str">
        <f>+IF(Melkepriskalender!$I$3="Landet",Data!S8,Data!O8)</f>
        <v>Jun 6 100,-</v>
      </c>
      <c r="L8" t="str">
        <f>+IF(Melkepriskalender!$I$3="Landet",Data!T8,Data!P8)</f>
        <v>Jun 4 100,-</v>
      </c>
      <c r="M8" s="10">
        <f t="shared" si="1"/>
        <v>6100.4399999999951</v>
      </c>
      <c r="N8" s="10">
        <f>+IF(Melkepriskalender!$I$6&lt;12000,ROUND(M8,-2),ROUND(M8/1000,0))</f>
        <v>6100</v>
      </c>
      <c r="O8" s="9" t="str">
        <f>+IF(Melkepriskalender!$I$6&lt;12000,IF(N8&gt;=1000,($J8&amp;" "&amp;LEFT(N8,1)&amp;" "&amp;RIGHT(N8,3)&amp;",-"),($J8&amp;" "&amp;N8&amp;",-")),($J8&amp;" "&amp;N8&amp;"',-"))</f>
        <v>Jun 6 100,-</v>
      </c>
      <c r="P8" s="9" t="str">
        <f>+IF(Melkepriskalender!$I$6&lt;12000,IF(N5&gt;=1000,($J8&amp;" "&amp;LEFT(N5,1)&amp;" "&amp;RIGHT(N5,3)&amp;",-"),($J8&amp;" "&amp;N5&amp;",-")),($J8&amp;" "&amp;N5&amp;"',-"))</f>
        <v>Jun 4 100,-</v>
      </c>
      <c r="Q8" s="10">
        <f t="shared" si="2"/>
        <v>5387.8800000000047</v>
      </c>
      <c r="R8" s="10">
        <f>+IF(Melkepriskalender!$I$6&lt;12000,ROUND(Q8,-2),ROUND(Q8/1000,0))</f>
        <v>5400</v>
      </c>
      <c r="S8" s="9" t="str">
        <f>+IF(Melkepriskalender!$I$6&lt;12000,IF(R8&gt;=1000,($J8&amp;" "&amp;LEFT(R8,1)&amp;" "&amp;RIGHT(R8,3)&amp;",-"),($J8&amp;" "&amp;R8&amp;",-")),($J8&amp;" "&amp;R8&amp;"',-"))</f>
        <v>Jun 5 400,-</v>
      </c>
      <c r="T8" s="9" t="str">
        <f>+IF(Melkepriskalender!$I$6&lt;12000,IF(R5&gt;=1000,($J8&amp;" "&amp;LEFT(R5,1)&amp;" "&amp;RIGHT(R5,3)&amp;",-"),($J8&amp;" "&amp;R5&amp;",-")),($J8&amp;" "&amp;R5&amp;"',-"))</f>
        <v>Jun 3 600,-</v>
      </c>
      <c r="U8">
        <v>1</v>
      </c>
      <c r="X8" t="s">
        <v>39</v>
      </c>
      <c r="Y8" s="65"/>
      <c r="Z8" s="65">
        <v>-0.6</v>
      </c>
      <c r="AA8" s="65">
        <v>-0.6</v>
      </c>
      <c r="AC8">
        <f t="shared" si="7"/>
        <v>5.37</v>
      </c>
      <c r="AD8">
        <f t="shared" si="4"/>
        <v>5.37</v>
      </c>
    </row>
    <row r="9" spans="1:30">
      <c r="A9" t="s">
        <v>41</v>
      </c>
      <c r="B9">
        <f t="shared" si="5"/>
        <v>7</v>
      </c>
      <c r="C9" s="58">
        <f t="shared" si="3"/>
        <v>7.2799999999999994</v>
      </c>
      <c r="D9" s="58">
        <f t="shared" si="0"/>
        <v>6.93</v>
      </c>
      <c r="F9">
        <v>7</v>
      </c>
      <c r="G9" s="1">
        <v>8.5999999999999993E-2</v>
      </c>
      <c r="I9">
        <f t="shared" si="6"/>
        <v>7</v>
      </c>
      <c r="J9" t="s">
        <v>41</v>
      </c>
      <c r="K9" t="str">
        <f>+IF(Melkepriskalender!$I$3="Landet",Data!S9,Data!O9)</f>
        <v>Jul 4 700,-</v>
      </c>
      <c r="L9" t="str">
        <f>+IF(Melkepriskalender!$I$3="Landet",Data!T9,Data!P9)</f>
        <v>Jul 5 100,-</v>
      </c>
      <c r="M9" s="10">
        <f t="shared" si="1"/>
        <v>4660.0799999999945</v>
      </c>
      <c r="N9" s="10">
        <f>+IF(Melkepriskalender!$I$6&lt;12000,ROUND(M9,-2),ROUND(M9/1000,0))</f>
        <v>4700</v>
      </c>
      <c r="O9" s="9" t="str">
        <f>+IF(Melkepriskalender!$I$6&lt;12000,IF(N9&gt;=1000,($J9&amp;" "&amp;LEFT(N9,1)&amp;" "&amp;RIGHT(N9,3)&amp;",-"),($J9&amp;" "&amp;N9&amp;",-")),($J9&amp;" "&amp;N9&amp;"',-"))</f>
        <v>Jul 4 700,-</v>
      </c>
      <c r="P9" s="9" t="str">
        <f>+IF(Melkepriskalender!$I$6&lt;12000,IF(N6&gt;=1000,($J9&amp;" "&amp;LEFT(N6,1)&amp;" "&amp;RIGHT(N6,3)&amp;",-"),($J9&amp;" "&amp;N6&amp;",-")),($J9&amp;" "&amp;N6&amp;"',-"))</f>
        <v>Jul 5 100,-</v>
      </c>
      <c r="Q9" s="10">
        <f t="shared" si="2"/>
        <v>4289.43</v>
      </c>
      <c r="R9" s="10">
        <f>+IF(Melkepriskalender!$I$6&lt;12000,ROUND(Q9,-2),ROUND(Q9/1000,0))</f>
        <v>4300</v>
      </c>
      <c r="S9" s="9" t="str">
        <f>+IF(Melkepriskalender!$I$6&lt;12000,IF(R9&gt;=1000,($J9&amp;" "&amp;LEFT(R9,1)&amp;" "&amp;RIGHT(R9,3)&amp;",-"),($J9&amp;" "&amp;R9&amp;",-")),($J9&amp;" "&amp;R9&amp;"',-"))</f>
        <v>Jul 4 300,-</v>
      </c>
      <c r="T9" s="9" t="str">
        <f>+IF(Melkepriskalender!$I$6&lt;12000,IF(R6&gt;=1000,($J9&amp;" "&amp;LEFT(R6,1)&amp;" "&amp;RIGHT(R6,3)&amp;",-"),($J9&amp;" "&amp;R6&amp;",-")),($J9&amp;" "&amp;R6&amp;"',-"))</f>
        <v>Jul 4 400,-</v>
      </c>
      <c r="U9">
        <v>1</v>
      </c>
      <c r="X9" t="s">
        <v>62</v>
      </c>
      <c r="Y9" s="65"/>
      <c r="Z9" s="65">
        <v>0.8</v>
      </c>
      <c r="AA9" s="65">
        <v>0.5</v>
      </c>
      <c r="AC9">
        <f t="shared" si="7"/>
        <v>6.77</v>
      </c>
      <c r="AD9">
        <f t="shared" si="4"/>
        <v>6.47</v>
      </c>
    </row>
    <row r="10" spans="1:30">
      <c r="A10" t="s">
        <v>42</v>
      </c>
      <c r="B10">
        <f t="shared" si="5"/>
        <v>8</v>
      </c>
      <c r="C10" s="58">
        <f t="shared" si="3"/>
        <v>7.42</v>
      </c>
      <c r="D10" s="58">
        <f t="shared" si="0"/>
        <v>7.2299999999999995</v>
      </c>
      <c r="F10">
        <v>8</v>
      </c>
      <c r="G10" s="1">
        <v>7.6999999999999999E-2</v>
      </c>
      <c r="I10">
        <f t="shared" si="6"/>
        <v>8</v>
      </c>
      <c r="J10" t="s">
        <v>42</v>
      </c>
      <c r="K10" t="str">
        <f>+IF(Melkepriskalender!$I$3="Landet",Data!S10,Data!O10)</f>
        <v>Aug 2 500,-</v>
      </c>
      <c r="L10" t="str">
        <f>+IF(Melkepriskalender!$I$3="Landet",Data!T10,Data!P10)</f>
        <v>Aug 5 900,-</v>
      </c>
      <c r="M10" s="10">
        <f t="shared" si="1"/>
        <v>2532.6900000000023</v>
      </c>
      <c r="N10" s="10">
        <f>+IF(Melkepriskalender!$I$6&lt;12000,ROUND(M10,-2),ROUND(M10/1000,0))</f>
        <v>2500</v>
      </c>
      <c r="O10" s="9" t="str">
        <f>+IF(Melkepriskalender!$I$6&lt;12000,IF(N10&gt;=1000,($J10&amp;" "&amp;LEFT(N10,1)&amp;" "&amp;RIGHT(N10,3)&amp;",-"),($J10&amp;" "&amp;N10&amp;",-")),($J10&amp;" "&amp;N10&amp;"',-"))</f>
        <v>Aug 2 500,-</v>
      </c>
      <c r="P10" s="9" t="str">
        <f>+IF(Melkepriskalender!$I$6&lt;12000,IF(N7&gt;=1000,($J10&amp;" "&amp;LEFT(N7,1)&amp;" "&amp;RIGHT(N7,3)&amp;",-"),($J10&amp;" "&amp;N7&amp;",-")),($J10&amp;" "&amp;N7&amp;"',-"))</f>
        <v>Aug 5 900,-</v>
      </c>
      <c r="Q10" s="10">
        <f t="shared" si="2"/>
        <v>2523.9300000000003</v>
      </c>
      <c r="R10" s="10">
        <f>+IF(Melkepriskalender!$I$6&lt;12000,ROUND(Q10,-2),ROUND(Q10/1000,0))</f>
        <v>2500</v>
      </c>
      <c r="S10" s="9" t="str">
        <f>+IF(Melkepriskalender!$I$6&lt;12000,IF(R10&gt;=1000,($J10&amp;" "&amp;LEFT(R10,1)&amp;" "&amp;RIGHT(R10,3)&amp;",-"),($J10&amp;" "&amp;R10&amp;",-")),($J10&amp;" "&amp;R10&amp;"',-"))</f>
        <v>Aug 2 500,-</v>
      </c>
      <c r="T10" s="9" t="str">
        <f>+IF(Melkepriskalender!$I$6&lt;12000,IF(R7&gt;=1000,($J10&amp;" "&amp;LEFT(R7,1)&amp;" "&amp;RIGHT(R7,3)&amp;",-"),($J10&amp;" "&amp;R7&amp;",-")),($J10&amp;" "&amp;R7&amp;"',-"))</f>
        <v>Aug 5 200,-</v>
      </c>
      <c r="U10">
        <v>1</v>
      </c>
      <c r="X10" t="s">
        <v>63</v>
      </c>
      <c r="Y10" s="65"/>
      <c r="Z10" s="65">
        <v>1.31</v>
      </c>
      <c r="AA10" s="65">
        <v>0.96</v>
      </c>
      <c r="AC10">
        <f t="shared" si="7"/>
        <v>7.2799999999999994</v>
      </c>
      <c r="AD10">
        <f t="shared" si="4"/>
        <v>6.93</v>
      </c>
    </row>
    <row r="11" spans="1:30">
      <c r="A11" t="s">
        <v>43</v>
      </c>
      <c r="B11">
        <f t="shared" si="5"/>
        <v>9</v>
      </c>
      <c r="C11" s="58">
        <f t="shared" si="3"/>
        <v>7.42</v>
      </c>
      <c r="D11" s="58">
        <f t="shared" si="0"/>
        <v>7.2299999999999995</v>
      </c>
      <c r="F11">
        <v>9</v>
      </c>
      <c r="G11" s="1">
        <v>6.9000000000000006E-2</v>
      </c>
      <c r="I11">
        <f t="shared" si="6"/>
        <v>9</v>
      </c>
      <c r="J11" t="s">
        <v>43</v>
      </c>
      <c r="K11" t="str">
        <f>+IF(Melkepriskalender!$I$3="Landet",Data!S11,Data!O11)</f>
        <v>Sep 900,-</v>
      </c>
      <c r="L11" t="str">
        <f>+IF(Melkepriskalender!$I$3="Landet",Data!T11,Data!P11)</f>
        <v>Sep 6 100,-</v>
      </c>
      <c r="M11" s="10">
        <f t="shared" si="1"/>
        <v>864.64500000000407</v>
      </c>
      <c r="N11" s="10">
        <f>+IF(Melkepriskalender!$I$6&lt;12000,ROUND(M11,-2),ROUND(M11/1000,0))</f>
        <v>900</v>
      </c>
      <c r="O11" s="9" t="str">
        <f>+IF(Melkepriskalender!$I$6&lt;12000,IF(N11&gt;=1000,($J11&amp;" "&amp;LEFT(N11,1)&amp;" "&amp;RIGHT(N11,3)&amp;",-"),($J11&amp;" "&amp;N11&amp;",-")),($J11&amp;" "&amp;N11&amp;"',-"))</f>
        <v>Sep 900,-</v>
      </c>
      <c r="P11" s="9" t="str">
        <f>+IF(Melkepriskalender!$I$6&lt;12000,IF(N8&gt;=1000,($J11&amp;" "&amp;LEFT(N8,1)&amp;" "&amp;RIGHT(N8,3)&amp;",-"),($J11&amp;" "&amp;N8&amp;",-")),($J11&amp;" "&amp;N8&amp;"',-"))</f>
        <v>Sep 6 100,-</v>
      </c>
      <c r="Q11" s="10">
        <f t="shared" si="2"/>
        <v>920.72999999999593</v>
      </c>
      <c r="R11" s="10">
        <f>+IF(Melkepriskalender!$I$6&lt;12000,ROUND(Q11,-2),ROUND(Q11/1000,0))</f>
        <v>900</v>
      </c>
      <c r="S11" s="9" t="str">
        <f>+IF(Melkepriskalender!$I$6&lt;12000,IF(R11&gt;=1000,($J11&amp;" "&amp;LEFT(R11,1)&amp;" "&amp;RIGHT(R11,3)&amp;",-"),($J11&amp;" "&amp;R11&amp;",-")),($J11&amp;" "&amp;R11&amp;"',-"))</f>
        <v>Sep 900,-</v>
      </c>
      <c r="T11" s="9" t="str">
        <f>+IF(Melkepriskalender!$I$6&lt;12000,IF(R8&gt;=1000,($J11&amp;" "&amp;LEFT(R8,1)&amp;" "&amp;RIGHT(R8,3)&amp;",-"),($J11&amp;" "&amp;R8&amp;",-")),($J11&amp;" "&amp;R8&amp;"',-"))</f>
        <v>Sep 5 400,-</v>
      </c>
      <c r="U11">
        <v>1</v>
      </c>
      <c r="X11" t="s">
        <v>64</v>
      </c>
      <c r="Y11" s="65"/>
      <c r="Z11" s="65">
        <v>1.45</v>
      </c>
      <c r="AA11" s="65">
        <v>1.26</v>
      </c>
      <c r="AC11">
        <f t="shared" si="7"/>
        <v>7.42</v>
      </c>
      <c r="AD11">
        <f t="shared" si="4"/>
        <v>7.2299999999999995</v>
      </c>
    </row>
    <row r="12" spans="1:30">
      <c r="A12" t="s">
        <v>44</v>
      </c>
      <c r="B12">
        <f t="shared" si="5"/>
        <v>10</v>
      </c>
      <c r="C12" s="58">
        <f t="shared" si="3"/>
        <v>5.96</v>
      </c>
      <c r="D12" s="58">
        <f t="shared" si="0"/>
        <v>6.0299999999999994</v>
      </c>
      <c r="F12">
        <v>10</v>
      </c>
      <c r="G12" s="1">
        <v>5.7000000000000002E-2</v>
      </c>
      <c r="I12">
        <f t="shared" si="6"/>
        <v>10</v>
      </c>
      <c r="J12" t="s">
        <v>44</v>
      </c>
      <c r="K12" t="str">
        <f>+IF(Melkepriskalender!$I$3="Landet",Data!S12,Data!O12)</f>
        <v>Okt 0,-</v>
      </c>
      <c r="L12" t="str">
        <f>+IF(Melkepriskalender!$I$3="Landet",Data!T12,Data!P12)</f>
        <v>Okt 4 700,-</v>
      </c>
      <c r="M12" s="10">
        <f t="shared" si="1"/>
        <v>0</v>
      </c>
      <c r="N12" s="10">
        <f>+IF(Melkepriskalender!$I$6&lt;12000,ROUND(M12,-2),ROUND(M12/1000,0))</f>
        <v>0</v>
      </c>
      <c r="O12" s="9" t="str">
        <f>+IF(Melkepriskalender!$I$6&lt;12000,IF(N12&gt;=1000,($J12&amp;" "&amp;LEFT(N12,1)&amp;" "&amp;RIGHT(N12,3)&amp;",-"),($J12&amp;" "&amp;N12&amp;",-")),($J12&amp;" "&amp;N12&amp;"',-"))</f>
        <v>Okt 0,-</v>
      </c>
      <c r="P12" s="9" t="str">
        <f>+IF(Melkepriskalender!$I$6&lt;12000,IF(N9&gt;=1000,($J12&amp;" "&amp;LEFT(N9,1)&amp;" "&amp;RIGHT(N9,3)&amp;",-"),($J12&amp;" "&amp;N9&amp;",-")),($J12&amp;" "&amp;N9&amp;"',-"))</f>
        <v>Okt 4 700,-</v>
      </c>
      <c r="Q12" s="10">
        <f t="shared" si="2"/>
        <v>0</v>
      </c>
      <c r="R12" s="10">
        <f>+IF(Melkepriskalender!$I$6&lt;12000,ROUND(Q12,-2),ROUND(Q12/1000,0))</f>
        <v>0</v>
      </c>
      <c r="S12" s="9" t="str">
        <f>+IF(Melkepriskalender!$I$6&lt;12000,IF(R12&gt;=1000,($J12&amp;" "&amp;LEFT(R12,1)&amp;" "&amp;RIGHT(R12,3)&amp;",-"),($J12&amp;" "&amp;R12&amp;",-")),($J12&amp;" "&amp;R12&amp;"',-"))</f>
        <v>Okt 0,-</v>
      </c>
      <c r="T12" s="9" t="str">
        <f>+IF(Melkepriskalender!$I$6&lt;12000,IF(R9&gt;=1000,($J12&amp;" "&amp;LEFT(R9,1)&amp;" "&amp;RIGHT(R9,3)&amp;",-"),($J12&amp;" "&amp;R9&amp;",-")),($J12&amp;" "&amp;R9&amp;"',-"))</f>
        <v>Okt 4 300,-</v>
      </c>
      <c r="U12">
        <v>1</v>
      </c>
      <c r="X12" t="s">
        <v>65</v>
      </c>
      <c r="Y12" s="65"/>
      <c r="Z12" s="65">
        <v>1.45</v>
      </c>
      <c r="AA12" s="65">
        <v>1.26</v>
      </c>
      <c r="AC12">
        <f t="shared" si="7"/>
        <v>7.42</v>
      </c>
      <c r="AD12">
        <f t="shared" si="4"/>
        <v>7.2299999999999995</v>
      </c>
    </row>
    <row r="13" spans="1:30">
      <c r="A13" t="s">
        <v>45</v>
      </c>
      <c r="B13">
        <f t="shared" si="5"/>
        <v>11</v>
      </c>
      <c r="C13" s="58">
        <f t="shared" si="3"/>
        <v>5.7299999999999995</v>
      </c>
      <c r="D13" s="58">
        <f t="shared" si="0"/>
        <v>5.7299999999999995</v>
      </c>
      <c r="I13">
        <f t="shared" si="6"/>
        <v>11</v>
      </c>
      <c r="J13" t="s">
        <v>45</v>
      </c>
      <c r="K13" t="str">
        <f>+IF(Melkepriskalender!$I$3="Landet",Data!S13,Data!O13)</f>
        <v>Nov 700,-</v>
      </c>
      <c r="L13" t="str">
        <f>+IF(Melkepriskalender!$I$3="Landet",Data!T13,Data!P13)</f>
        <v>Nov 2 500,-</v>
      </c>
      <c r="M13" s="10">
        <f t="shared" si="1"/>
        <v>695.89499999998952</v>
      </c>
      <c r="N13" s="10">
        <f>+IF(Melkepriskalender!$I$6&lt;12000,ROUND(M13,-2),ROUND(M13/1000,0))</f>
        <v>700</v>
      </c>
      <c r="O13" s="9" t="str">
        <f>+IF(Melkepriskalender!$I$6&lt;12000,IF(N13&gt;=1000,($J13&amp;" "&amp;LEFT(N13,1)&amp;" "&amp;RIGHT(N13,3)&amp;",-"),($J13&amp;" "&amp;N13&amp;",-")),($J13&amp;" "&amp;N13&amp;"',-"))</f>
        <v>Nov 700,-</v>
      </c>
      <c r="P13" s="9" t="str">
        <f>+IF(Melkepriskalender!$I$6&lt;12000,IF(N10&gt;=1000,($J13&amp;" "&amp;LEFT(N10,1)&amp;" "&amp;RIGHT(N10,3)&amp;",-"),($J13&amp;" "&amp;N10&amp;",-")),($J13&amp;" "&amp;N10&amp;"',-"))</f>
        <v>Nov 2 500,-</v>
      </c>
      <c r="Q13" s="10">
        <f t="shared" si="2"/>
        <v>463.82999999999447</v>
      </c>
      <c r="R13" s="10">
        <f>+IF(Melkepriskalender!$I$6&lt;12000,ROUND(Q13,-2),ROUND(Q13/1000,0))</f>
        <v>500</v>
      </c>
      <c r="S13" s="9" t="str">
        <f>+IF(Melkepriskalender!$I$6&lt;12000,IF(R13&gt;=1000,($J13&amp;" "&amp;LEFT(R13,1)&amp;" "&amp;RIGHT(R13,3)&amp;",-"),($J13&amp;" "&amp;R13&amp;",-")),($J13&amp;" "&amp;R13&amp;"',-"))</f>
        <v>Nov 500,-</v>
      </c>
      <c r="T13" s="9" t="str">
        <f>+IF(Melkepriskalender!$I$6&lt;12000,IF(R10&gt;=1000,($J13&amp;" "&amp;LEFT(R10,1)&amp;" "&amp;RIGHT(R10,3)&amp;",-"),($J13&amp;" "&amp;R10&amp;",-")),($J13&amp;" "&amp;R10&amp;"',-"))</f>
        <v>Nov 2 500,-</v>
      </c>
      <c r="U13">
        <v>1</v>
      </c>
      <c r="X13" t="s">
        <v>66</v>
      </c>
      <c r="Y13" s="65"/>
      <c r="Z13" s="65">
        <v>-0.01</v>
      </c>
      <c r="AA13" s="65">
        <v>0.06</v>
      </c>
      <c r="AC13">
        <f t="shared" si="7"/>
        <v>5.96</v>
      </c>
      <c r="AD13">
        <f t="shared" si="4"/>
        <v>6.0299999999999994</v>
      </c>
    </row>
    <row r="14" spans="1:30" ht="15" thickBot="1">
      <c r="A14" t="s">
        <v>47</v>
      </c>
      <c r="B14">
        <f t="shared" si="5"/>
        <v>12</v>
      </c>
      <c r="C14" s="58">
        <f t="shared" si="3"/>
        <v>5.7299999999999995</v>
      </c>
      <c r="D14" s="58">
        <f t="shared" si="0"/>
        <v>5.7299999999999995</v>
      </c>
      <c r="I14">
        <f t="shared" si="6"/>
        <v>12</v>
      </c>
      <c r="J14" t="s">
        <v>47</v>
      </c>
      <c r="K14" t="str">
        <f>+IF(Melkepriskalender!$I$3="Landet",Data!S14,Data!O14)</f>
        <v>Des 1 600,-</v>
      </c>
      <c r="L14" t="str">
        <f>+IF(Melkepriskalender!$I$3="Landet",Data!T14,Data!P14)</f>
        <v>Des 900,-</v>
      </c>
      <c r="M14" s="10">
        <f t="shared" si="1"/>
        <v>1648.919999999991</v>
      </c>
      <c r="N14" s="10">
        <f>+IF(Melkepriskalender!$I$6&lt;12000,ROUND(M14,-2),ROUND(M14/1000,0))</f>
        <v>1600</v>
      </c>
      <c r="O14" s="9" t="str">
        <f>+IF(Melkepriskalender!$I$6&lt;12000,IF(N14&gt;=1000,($J14&amp;" "&amp;LEFT(N14,1)&amp;" "&amp;RIGHT(N14,3)&amp;",-"),($J14&amp;" "&amp;N14&amp;",-")),($J14&amp;" "&amp;N14&amp;"',-"))</f>
        <v>Des 1 600,-</v>
      </c>
      <c r="P14" s="9" t="str">
        <f>+IF(Melkepriskalender!$I$6&lt;12000,IF(N11&gt;=1000,($J14&amp;" "&amp;LEFT(N11,1)&amp;" "&amp;RIGHT(N11,3)&amp;",-"),($J14&amp;" "&amp;N11&amp;",-")),($J14&amp;" "&amp;N11&amp;"',-"))</f>
        <v>Des 900,-</v>
      </c>
      <c r="Q14" s="10">
        <f t="shared" si="2"/>
        <v>1261.5</v>
      </c>
      <c r="R14" s="10">
        <f>+IF(Melkepriskalender!$I$6&lt;12000,ROUND(Q14,-2),ROUND(Q14/1000,0))</f>
        <v>1300</v>
      </c>
      <c r="S14" s="9" t="str">
        <f>+IF(Melkepriskalender!$I$6&lt;12000,IF(R14&gt;=1000,($J14&amp;" "&amp;LEFT(R14,1)&amp;" "&amp;RIGHT(R14,3)&amp;",-"),($J14&amp;" "&amp;R14&amp;",-")),($J14&amp;" "&amp;R14&amp;"',-"))</f>
        <v>Des 1 300,-</v>
      </c>
      <c r="T14" s="9" t="str">
        <f>+IF(Melkepriskalender!$I$6&lt;12000,IF(R11&gt;=1000,($J14&amp;" "&amp;LEFT(R11,1)&amp;" "&amp;RIGHT(R11,3)&amp;",-"),($J14&amp;" "&amp;R11&amp;",-")),($J14&amp;" "&amp;R11&amp;"',-"))</f>
        <v>Des 900,-</v>
      </c>
      <c r="U14">
        <v>1</v>
      </c>
      <c r="X14" t="s">
        <v>67</v>
      </c>
      <c r="Y14" s="65"/>
      <c r="Z14" s="65">
        <v>-0.24</v>
      </c>
      <c r="AA14" s="65">
        <v>-0.24</v>
      </c>
      <c r="AC14">
        <f t="shared" si="7"/>
        <v>5.7299999999999995</v>
      </c>
      <c r="AD14">
        <f t="shared" si="4"/>
        <v>5.7299999999999995</v>
      </c>
    </row>
    <row r="15" spans="1:30">
      <c r="F15" s="12" t="s">
        <v>68</v>
      </c>
      <c r="G15" s="13" t="s">
        <v>1</v>
      </c>
      <c r="X15" t="s">
        <v>69</v>
      </c>
      <c r="Y15" s="65"/>
      <c r="Z15" s="65">
        <v>-0.24</v>
      </c>
      <c r="AA15" s="65">
        <v>-0.24</v>
      </c>
      <c r="AC15">
        <f t="shared" si="7"/>
        <v>5.7299999999999995</v>
      </c>
      <c r="AD15">
        <f t="shared" si="4"/>
        <v>5.7299999999999995</v>
      </c>
    </row>
    <row r="16" spans="1:30" ht="15" thickBot="1">
      <c r="F16" s="14"/>
      <c r="G16" s="15" t="s">
        <v>49</v>
      </c>
    </row>
    <row r="17" spans="1:29">
      <c r="S17" s="71"/>
      <c r="T17" s="71"/>
    </row>
    <row r="18" spans="1:29">
      <c r="J18" s="70" t="s">
        <v>70</v>
      </c>
      <c r="K18" s="70"/>
      <c r="L18" s="60"/>
      <c r="AC18">
        <f>+AC11-AC7</f>
        <v>2.13</v>
      </c>
    </row>
    <row r="19" spans="1:29">
      <c r="A19" t="s">
        <v>71</v>
      </c>
      <c r="J19" s="60" t="s">
        <v>1</v>
      </c>
      <c r="K19" s="60" t="s">
        <v>49</v>
      </c>
      <c r="L19" s="60"/>
    </row>
    <row r="20" spans="1:29">
      <c r="A20" s="2">
        <v>43744</v>
      </c>
      <c r="B20">
        <f>+DAY(A20)</f>
        <v>6</v>
      </c>
      <c r="C20">
        <f>+MONTH(A20)</f>
        <v>10</v>
      </c>
      <c r="D20" s="71" t="s">
        <v>50</v>
      </c>
      <c r="E20" s="71"/>
      <c r="H20" s="70" t="s">
        <v>72</v>
      </c>
      <c r="I20" s="70"/>
      <c r="J20" s="6">
        <f>+SUM(H22:H32)</f>
        <v>51544.62000000001</v>
      </c>
      <c r="K20" s="6">
        <f>+SUM(I22:I32)</f>
        <v>51144.060000000005</v>
      </c>
    </row>
    <row r="21" spans="1:29">
      <c r="C21" s="4" t="s">
        <v>73</v>
      </c>
      <c r="D21" s="59" t="s">
        <v>1</v>
      </c>
      <c r="E21" s="59" t="s">
        <v>49</v>
      </c>
      <c r="F21" s="4" t="s">
        <v>74</v>
      </c>
      <c r="G21" s="4" t="s">
        <v>75</v>
      </c>
      <c r="H21" s="60" t="s">
        <v>1</v>
      </c>
      <c r="I21" s="60" t="s">
        <v>49</v>
      </c>
    </row>
    <row r="22" spans="1:29">
      <c r="A22" t="s">
        <v>76</v>
      </c>
      <c r="B22">
        <f>+C20</f>
        <v>10</v>
      </c>
      <c r="C22">
        <f>30-B20+1</f>
        <v>25</v>
      </c>
      <c r="D22">
        <f>+SUMIF($B$3:$B$14,$B22,C$3:C$14)</f>
        <v>5.96</v>
      </c>
      <c r="E22">
        <f>+SUMIF($B$3:$B$14,$B22,D$3:D$14)</f>
        <v>6.0299999999999994</v>
      </c>
      <c r="F22" s="1">
        <f>+$G$3*$C22/30</f>
        <v>0.10250000000000001</v>
      </c>
      <c r="G22">
        <f>+F22*Melkepriskalender!$I$6</f>
        <v>922.50000000000011</v>
      </c>
      <c r="H22" s="7">
        <f>+$G22*D22</f>
        <v>5498.1</v>
      </c>
      <c r="I22" s="7">
        <f>+$G22*E22</f>
        <v>5562.6750000000002</v>
      </c>
    </row>
    <row r="23" spans="1:29">
      <c r="A23" t="s">
        <v>77</v>
      </c>
      <c r="B23">
        <f>IF(B22+1&gt;12,1,B22+1)</f>
        <v>11</v>
      </c>
      <c r="C23">
        <v>30</v>
      </c>
      <c r="D23">
        <f t="shared" ref="D23:E32" si="8">+SUMIF($B$3:$B$14,$B23,C$3:C$14)</f>
        <v>5.7299999999999995</v>
      </c>
      <c r="E23">
        <f t="shared" si="8"/>
        <v>5.7299999999999995</v>
      </c>
      <c r="F23" s="1">
        <f>+($G$3*(30-$C$22)+$G$4*$C$22)/30</f>
        <v>0.13716666666666669</v>
      </c>
      <c r="G23">
        <f>+F23*Melkepriskalender!$I$6</f>
        <v>1234.5000000000002</v>
      </c>
      <c r="H23" s="7">
        <f t="shared" ref="H23:I32" si="9">+$G23*D23</f>
        <v>7073.6850000000004</v>
      </c>
      <c r="I23" s="7">
        <f t="shared" si="9"/>
        <v>7073.6850000000004</v>
      </c>
    </row>
    <row r="24" spans="1:29">
      <c r="A24" t="s">
        <v>78</v>
      </c>
      <c r="B24">
        <f t="shared" ref="B24:B32" si="10">IF(B23+1&gt;12,1,B23+1)</f>
        <v>12</v>
      </c>
      <c r="C24">
        <v>30</v>
      </c>
      <c r="D24">
        <f t="shared" si="8"/>
        <v>5.7299999999999995</v>
      </c>
      <c r="E24">
        <f t="shared" si="8"/>
        <v>5.7299999999999995</v>
      </c>
      <c r="F24" s="1">
        <f>+($G$4*(30-$C$22)+$G$5*$C$22)/30</f>
        <v>0.13666666666666669</v>
      </c>
      <c r="G24">
        <f>+F24*Melkepriskalender!$I$6</f>
        <v>1230.0000000000002</v>
      </c>
      <c r="H24" s="7">
        <f t="shared" si="9"/>
        <v>7047.9000000000005</v>
      </c>
      <c r="I24" s="7">
        <f t="shared" si="9"/>
        <v>7047.9000000000005</v>
      </c>
    </row>
    <row r="25" spans="1:29">
      <c r="A25" t="s">
        <v>79</v>
      </c>
      <c r="B25">
        <f t="shared" si="10"/>
        <v>1</v>
      </c>
      <c r="C25">
        <v>30</v>
      </c>
      <c r="D25">
        <f t="shared" si="8"/>
        <v>5.29</v>
      </c>
      <c r="E25">
        <f t="shared" si="8"/>
        <v>5.27</v>
      </c>
      <c r="F25" s="1">
        <f>+($G$5*(30-$C$22)+$G$6*$C$22)/30</f>
        <v>0.11600000000000002</v>
      </c>
      <c r="G25">
        <f>+F25*Melkepriskalender!$I$6</f>
        <v>1044.0000000000002</v>
      </c>
      <c r="H25" s="7">
        <f t="shared" si="9"/>
        <v>5522.7600000000011</v>
      </c>
      <c r="I25" s="7">
        <f t="shared" si="9"/>
        <v>5501.880000000001</v>
      </c>
    </row>
    <row r="26" spans="1:29">
      <c r="A26" t="s">
        <v>80</v>
      </c>
      <c r="B26">
        <f t="shared" si="10"/>
        <v>2</v>
      </c>
      <c r="C26">
        <v>30</v>
      </c>
      <c r="D26">
        <f t="shared" si="8"/>
        <v>5.29</v>
      </c>
      <c r="E26">
        <f t="shared" si="8"/>
        <v>5.27</v>
      </c>
      <c r="F26" s="1">
        <f>+($G$6*(30-$C$22)+$G$7*$C$22)/30</f>
        <v>0.10616666666666667</v>
      </c>
      <c r="G26">
        <f>+F26*Melkepriskalender!$I$6</f>
        <v>955.50000000000011</v>
      </c>
      <c r="H26" s="7">
        <f t="shared" si="9"/>
        <v>5054.5950000000003</v>
      </c>
      <c r="I26" s="7">
        <f t="shared" si="9"/>
        <v>5035.4850000000006</v>
      </c>
    </row>
    <row r="27" spans="1:29">
      <c r="A27" t="s">
        <v>81</v>
      </c>
      <c r="B27">
        <f t="shared" si="10"/>
        <v>3</v>
      </c>
      <c r="C27">
        <v>30</v>
      </c>
      <c r="D27">
        <f t="shared" si="8"/>
        <v>5.29</v>
      </c>
      <c r="E27">
        <f t="shared" si="8"/>
        <v>5.27</v>
      </c>
      <c r="F27" s="1">
        <f>+($G$7*(30-$C$22)+$G$8*$C$22)/30</f>
        <v>9.6666666666666665E-2</v>
      </c>
      <c r="G27">
        <f>+F27*Melkepriskalender!$I$6</f>
        <v>870</v>
      </c>
      <c r="H27" s="7">
        <f t="shared" si="9"/>
        <v>4602.3</v>
      </c>
      <c r="I27" s="7">
        <f t="shared" si="9"/>
        <v>4584.8999999999996</v>
      </c>
    </row>
    <row r="28" spans="1:29">
      <c r="A28" t="s">
        <v>82</v>
      </c>
      <c r="B28">
        <f t="shared" si="10"/>
        <v>4</v>
      </c>
      <c r="C28">
        <v>30</v>
      </c>
      <c r="D28">
        <f t="shared" si="8"/>
        <v>5.29</v>
      </c>
      <c r="E28">
        <f t="shared" si="8"/>
        <v>5.27</v>
      </c>
      <c r="F28" s="1">
        <f>+($G$8*(30-$C$22)+$G$9*$C$22)/30</f>
        <v>8.7499999999999994E-2</v>
      </c>
      <c r="G28">
        <f>+F28*Melkepriskalender!$I$6</f>
        <v>787.5</v>
      </c>
      <c r="H28" s="7">
        <f t="shared" si="9"/>
        <v>4165.875</v>
      </c>
      <c r="I28" s="7">
        <f t="shared" si="9"/>
        <v>4150.125</v>
      </c>
    </row>
    <row r="29" spans="1:29">
      <c r="A29" t="s">
        <v>83</v>
      </c>
      <c r="B29">
        <f t="shared" si="10"/>
        <v>5</v>
      </c>
      <c r="C29">
        <v>30</v>
      </c>
      <c r="D29">
        <f t="shared" si="8"/>
        <v>5.37</v>
      </c>
      <c r="E29">
        <f t="shared" si="8"/>
        <v>5.37</v>
      </c>
      <c r="F29" s="1">
        <f>+($G$9*(30-$C$22)+$G$10*$C$22)/30</f>
        <v>7.85E-2</v>
      </c>
      <c r="G29">
        <f>+F29*Melkepriskalender!$I$6</f>
        <v>706.5</v>
      </c>
      <c r="H29" s="7">
        <f t="shared" si="9"/>
        <v>3793.9050000000002</v>
      </c>
      <c r="I29" s="7">
        <f t="shared" si="9"/>
        <v>3793.9050000000002</v>
      </c>
    </row>
    <row r="30" spans="1:29">
      <c r="A30" t="s">
        <v>84</v>
      </c>
      <c r="B30">
        <f t="shared" si="10"/>
        <v>6</v>
      </c>
      <c r="C30">
        <v>30</v>
      </c>
      <c r="D30">
        <f t="shared" si="8"/>
        <v>6.77</v>
      </c>
      <c r="E30">
        <f t="shared" si="8"/>
        <v>6.47</v>
      </c>
      <c r="F30" s="1">
        <f>+($G$10*(30-$C$22)+$G$11*$C$22)/30</f>
        <v>7.0333333333333345E-2</v>
      </c>
      <c r="G30">
        <f>+F30*Melkepriskalender!$I$6</f>
        <v>633.00000000000011</v>
      </c>
      <c r="H30" s="7">
        <f t="shared" si="9"/>
        <v>4285.4100000000008</v>
      </c>
      <c r="I30" s="7">
        <f t="shared" si="9"/>
        <v>4095.5100000000007</v>
      </c>
    </row>
    <row r="31" spans="1:29">
      <c r="A31" t="s">
        <v>85</v>
      </c>
      <c r="B31">
        <f t="shared" si="10"/>
        <v>7</v>
      </c>
      <c r="C31">
        <v>30</v>
      </c>
      <c r="D31">
        <f t="shared" si="8"/>
        <v>7.2799999999999994</v>
      </c>
      <c r="E31">
        <f t="shared" si="8"/>
        <v>6.93</v>
      </c>
      <c r="F31" s="1">
        <f>+($G$11*(30-$C$22)+$G$12*$C$22)/30</f>
        <v>5.9000000000000004E-2</v>
      </c>
      <c r="G31">
        <f>+F31*Melkepriskalender!$I$6</f>
        <v>531</v>
      </c>
      <c r="H31" s="7">
        <f t="shared" si="9"/>
        <v>3865.68</v>
      </c>
      <c r="I31" s="7">
        <f t="shared" si="9"/>
        <v>3679.83</v>
      </c>
    </row>
    <row r="32" spans="1:29">
      <c r="A32" t="s">
        <v>86</v>
      </c>
      <c r="B32">
        <f t="shared" si="10"/>
        <v>8</v>
      </c>
      <c r="C32">
        <f>300-SUM(C22:C31)</f>
        <v>5</v>
      </c>
      <c r="D32">
        <f t="shared" si="8"/>
        <v>7.42</v>
      </c>
      <c r="E32">
        <f t="shared" si="8"/>
        <v>7.2299999999999995</v>
      </c>
      <c r="F32" s="1">
        <f>+($G$12*(30-$C$22)+$G$13*$C$22)/30</f>
        <v>9.5000000000000015E-3</v>
      </c>
      <c r="G32">
        <f>+F32*Melkepriskalender!$I$6</f>
        <v>85.500000000000014</v>
      </c>
      <c r="H32" s="7">
        <f t="shared" si="9"/>
        <v>634.41000000000008</v>
      </c>
      <c r="I32" s="7">
        <f t="shared" si="9"/>
        <v>618.16500000000008</v>
      </c>
    </row>
    <row r="33" spans="1:12">
      <c r="J33" s="70" t="s">
        <v>70</v>
      </c>
      <c r="K33" s="70"/>
      <c r="L33" s="60"/>
    </row>
    <row r="34" spans="1:12">
      <c r="A34" t="s">
        <v>71</v>
      </c>
      <c r="J34" s="60" t="s">
        <v>1</v>
      </c>
      <c r="K34" s="60" t="s">
        <v>49</v>
      </c>
      <c r="L34" s="60"/>
    </row>
    <row r="35" spans="1:12">
      <c r="A35" s="3">
        <f>+DATE(2019,C35,$B$20)</f>
        <v>43775</v>
      </c>
      <c r="B35">
        <f>+DAY(A35)</f>
        <v>6</v>
      </c>
      <c r="C35">
        <f>+IF(C20&gt;11,1,C20+1)</f>
        <v>11</v>
      </c>
      <c r="D35" s="71" t="s">
        <v>50</v>
      </c>
      <c r="E35" s="71"/>
      <c r="H35" s="70" t="s">
        <v>72</v>
      </c>
      <c r="I35" s="70"/>
      <c r="J35" s="6">
        <f>+SUM(H37:H47)</f>
        <v>52240.514999999999</v>
      </c>
      <c r="K35" s="6">
        <f>+SUM(I37:I47)</f>
        <v>51607.89</v>
      </c>
    </row>
    <row r="36" spans="1:12">
      <c r="C36" t="s">
        <v>73</v>
      </c>
      <c r="D36" s="59" t="s">
        <v>1</v>
      </c>
      <c r="E36" s="59" t="s">
        <v>49</v>
      </c>
      <c r="F36" t="s">
        <v>74</v>
      </c>
      <c r="G36" t="s">
        <v>75</v>
      </c>
      <c r="H36" s="60" t="s">
        <v>1</v>
      </c>
      <c r="I36" s="60" t="s">
        <v>49</v>
      </c>
    </row>
    <row r="37" spans="1:12">
      <c r="A37" t="s">
        <v>76</v>
      </c>
      <c r="B37">
        <f>+C35</f>
        <v>11</v>
      </c>
      <c r="C37">
        <f>30-B35+1</f>
        <v>25</v>
      </c>
      <c r="D37">
        <f t="shared" ref="D37:D47" si="11">+SUMIF($B$3:$B$14,B37,C$3:C$14)</f>
        <v>5.7299999999999995</v>
      </c>
      <c r="E37">
        <f>+SUMIF($B$3:$B$14,$B37,D$3:D$14)</f>
        <v>5.7299999999999995</v>
      </c>
      <c r="F37" s="1">
        <f>+$G$3*$C37/30</f>
        <v>0.10250000000000001</v>
      </c>
      <c r="G37">
        <f>+F37*Melkepriskalender!$I$6</f>
        <v>922.50000000000011</v>
      </c>
      <c r="H37" s="7">
        <f t="shared" ref="H37:H47" si="12">+G37*D37</f>
        <v>5285.9250000000002</v>
      </c>
      <c r="I37" s="7">
        <f>+$G37*E37</f>
        <v>5285.9250000000002</v>
      </c>
    </row>
    <row r="38" spans="1:12">
      <c r="A38" t="s">
        <v>77</v>
      </c>
      <c r="B38">
        <f>IF(B37+1&gt;12,1,B37+1)</f>
        <v>12</v>
      </c>
      <c r="C38">
        <v>30</v>
      </c>
      <c r="D38">
        <f t="shared" si="11"/>
        <v>5.7299999999999995</v>
      </c>
      <c r="E38">
        <f t="shared" ref="E38" si="13">+SUMIF($B$3:$B$14,$B38,D$3:D$14)</f>
        <v>5.7299999999999995</v>
      </c>
      <c r="F38" s="1">
        <f>+($G$3*(30-$C$22)+$G$4*$C$22)/30</f>
        <v>0.13716666666666669</v>
      </c>
      <c r="G38">
        <f>+F38*Melkepriskalender!$I$6</f>
        <v>1234.5000000000002</v>
      </c>
      <c r="H38" s="7">
        <f t="shared" si="12"/>
        <v>7073.6850000000004</v>
      </c>
      <c r="I38" s="7">
        <f t="shared" ref="I38:I47" si="14">+$G38*E38</f>
        <v>7073.6850000000004</v>
      </c>
    </row>
    <row r="39" spans="1:12">
      <c r="A39" t="s">
        <v>78</v>
      </c>
      <c r="B39">
        <f t="shared" ref="B39:B47" si="15">IF(B38+1&gt;12,1,B38+1)</f>
        <v>1</v>
      </c>
      <c r="C39">
        <v>30</v>
      </c>
      <c r="D39">
        <f t="shared" si="11"/>
        <v>5.29</v>
      </c>
      <c r="E39">
        <f t="shared" ref="E39" si="16">+SUMIF($B$3:$B$14,$B39,D$3:D$14)</f>
        <v>5.27</v>
      </c>
      <c r="F39" s="1">
        <f>+($G$4*(30-$C$22)+$G$5*$C$22)/30</f>
        <v>0.13666666666666669</v>
      </c>
      <c r="G39">
        <f>+F39*Melkepriskalender!$I$6</f>
        <v>1230.0000000000002</v>
      </c>
      <c r="H39" s="7">
        <f t="shared" si="12"/>
        <v>6506.7000000000016</v>
      </c>
      <c r="I39" s="7">
        <f t="shared" si="14"/>
        <v>6482.1</v>
      </c>
    </row>
    <row r="40" spans="1:12">
      <c r="A40" t="s">
        <v>79</v>
      </c>
      <c r="B40">
        <f t="shared" si="15"/>
        <v>2</v>
      </c>
      <c r="C40">
        <v>30</v>
      </c>
      <c r="D40">
        <f t="shared" si="11"/>
        <v>5.29</v>
      </c>
      <c r="E40">
        <f t="shared" ref="E40" si="17">+SUMIF($B$3:$B$14,$B40,D$3:D$14)</f>
        <v>5.27</v>
      </c>
      <c r="F40" s="1">
        <f>+($G$5*(30-$C$22)+$G$6*$C$22)/30</f>
        <v>0.11600000000000002</v>
      </c>
      <c r="G40">
        <f>+F40*Melkepriskalender!$I$6</f>
        <v>1044.0000000000002</v>
      </c>
      <c r="H40" s="7">
        <f t="shared" si="12"/>
        <v>5522.7600000000011</v>
      </c>
      <c r="I40" s="7">
        <f t="shared" si="14"/>
        <v>5501.880000000001</v>
      </c>
    </row>
    <row r="41" spans="1:12">
      <c r="A41" t="s">
        <v>80</v>
      </c>
      <c r="B41">
        <f t="shared" si="15"/>
        <v>3</v>
      </c>
      <c r="C41">
        <v>30</v>
      </c>
      <c r="D41">
        <f t="shared" si="11"/>
        <v>5.29</v>
      </c>
      <c r="E41">
        <f t="shared" ref="E41" si="18">+SUMIF($B$3:$B$14,$B41,D$3:D$14)</f>
        <v>5.27</v>
      </c>
      <c r="F41" s="1">
        <f>+($G$6*(30-$C$22)+$G$7*$C$22)/30</f>
        <v>0.10616666666666667</v>
      </c>
      <c r="G41">
        <f>+F41*Melkepriskalender!$I$6</f>
        <v>955.50000000000011</v>
      </c>
      <c r="H41" s="7">
        <f t="shared" si="12"/>
        <v>5054.5950000000003</v>
      </c>
      <c r="I41" s="7">
        <f t="shared" si="14"/>
        <v>5035.4850000000006</v>
      </c>
    </row>
    <row r="42" spans="1:12">
      <c r="A42" t="s">
        <v>81</v>
      </c>
      <c r="B42">
        <f t="shared" si="15"/>
        <v>4</v>
      </c>
      <c r="C42">
        <v>30</v>
      </c>
      <c r="D42">
        <f t="shared" si="11"/>
        <v>5.29</v>
      </c>
      <c r="E42">
        <f t="shared" ref="E42" si="19">+SUMIF($B$3:$B$14,$B42,D$3:D$14)</f>
        <v>5.27</v>
      </c>
      <c r="F42" s="1">
        <f>+($G$7*(30-$C$22)+$G$8*$C$22)/30</f>
        <v>9.6666666666666665E-2</v>
      </c>
      <c r="G42">
        <f>+F42*Melkepriskalender!$I$6</f>
        <v>870</v>
      </c>
      <c r="H42" s="7">
        <f t="shared" si="12"/>
        <v>4602.3</v>
      </c>
      <c r="I42" s="7">
        <f t="shared" si="14"/>
        <v>4584.8999999999996</v>
      </c>
    </row>
    <row r="43" spans="1:12">
      <c r="A43" t="s">
        <v>82</v>
      </c>
      <c r="B43">
        <f t="shared" si="15"/>
        <v>5</v>
      </c>
      <c r="C43">
        <v>30</v>
      </c>
      <c r="D43">
        <f t="shared" si="11"/>
        <v>5.37</v>
      </c>
      <c r="E43">
        <f t="shared" ref="E43" si="20">+SUMIF($B$3:$B$14,$B43,D$3:D$14)</f>
        <v>5.37</v>
      </c>
      <c r="F43" s="1">
        <f>+($G$8*(30-$C$22)+$G$9*$C$22)/30</f>
        <v>8.7499999999999994E-2</v>
      </c>
      <c r="G43">
        <f>+F43*Melkepriskalender!$I$6</f>
        <v>787.5</v>
      </c>
      <c r="H43" s="7">
        <f t="shared" si="12"/>
        <v>4228.875</v>
      </c>
      <c r="I43" s="7">
        <f t="shared" si="14"/>
        <v>4228.875</v>
      </c>
    </row>
    <row r="44" spans="1:12">
      <c r="A44" t="s">
        <v>83</v>
      </c>
      <c r="B44">
        <f t="shared" si="15"/>
        <v>6</v>
      </c>
      <c r="C44">
        <v>30</v>
      </c>
      <c r="D44">
        <f t="shared" si="11"/>
        <v>6.77</v>
      </c>
      <c r="E44">
        <f t="shared" ref="E44" si="21">+SUMIF($B$3:$B$14,$B44,D$3:D$14)</f>
        <v>6.47</v>
      </c>
      <c r="F44" s="1">
        <f>+($G$9*(30-$C$22)+$G$10*$C$22)/30</f>
        <v>7.85E-2</v>
      </c>
      <c r="G44">
        <f>+F44*Melkepriskalender!$I$6</f>
        <v>706.5</v>
      </c>
      <c r="H44" s="7">
        <f t="shared" si="12"/>
        <v>4783.0050000000001</v>
      </c>
      <c r="I44" s="7">
        <f t="shared" si="14"/>
        <v>4571.0549999999994</v>
      </c>
    </row>
    <row r="45" spans="1:12">
      <c r="A45" t="s">
        <v>84</v>
      </c>
      <c r="B45">
        <f t="shared" si="15"/>
        <v>7</v>
      </c>
      <c r="C45">
        <v>30</v>
      </c>
      <c r="D45">
        <f t="shared" si="11"/>
        <v>7.2799999999999994</v>
      </c>
      <c r="E45">
        <f t="shared" ref="E45" si="22">+SUMIF($B$3:$B$14,$B45,D$3:D$14)</f>
        <v>6.93</v>
      </c>
      <c r="F45" s="1">
        <f>+($G$10*(30-$C$22)+$G$11*$C$22)/30</f>
        <v>7.0333333333333345E-2</v>
      </c>
      <c r="G45">
        <f>+F45*Melkepriskalender!$I$6</f>
        <v>633.00000000000011</v>
      </c>
      <c r="H45" s="7">
        <f t="shared" si="12"/>
        <v>4608.2400000000007</v>
      </c>
      <c r="I45" s="7">
        <f t="shared" si="14"/>
        <v>4386.6900000000005</v>
      </c>
    </row>
    <row r="46" spans="1:12">
      <c r="A46" t="s">
        <v>85</v>
      </c>
      <c r="B46">
        <f t="shared" si="15"/>
        <v>8</v>
      </c>
      <c r="C46">
        <v>30</v>
      </c>
      <c r="D46">
        <f t="shared" si="11"/>
        <v>7.42</v>
      </c>
      <c r="E46">
        <f t="shared" ref="E46" si="23">+SUMIF($B$3:$B$14,$B46,D$3:D$14)</f>
        <v>7.2299999999999995</v>
      </c>
      <c r="F46" s="1">
        <f>+($G$11*(30-$C$22)+$G$12*$C$22)/30</f>
        <v>5.9000000000000004E-2</v>
      </c>
      <c r="G46">
        <f>+F46*Melkepriskalender!$I$6</f>
        <v>531</v>
      </c>
      <c r="H46" s="7">
        <f t="shared" si="12"/>
        <v>3940.02</v>
      </c>
      <c r="I46" s="7">
        <f t="shared" si="14"/>
        <v>3839.1299999999997</v>
      </c>
    </row>
    <row r="47" spans="1:12">
      <c r="A47" t="s">
        <v>86</v>
      </c>
      <c r="B47">
        <f t="shared" si="15"/>
        <v>9</v>
      </c>
      <c r="C47">
        <f>300-SUM(C37:C46)</f>
        <v>5</v>
      </c>
      <c r="D47">
        <f t="shared" si="11"/>
        <v>7.42</v>
      </c>
      <c r="E47">
        <f t="shared" ref="E47" si="24">+SUMIF($B$3:$B$14,$B47,D$3:D$14)</f>
        <v>7.2299999999999995</v>
      </c>
      <c r="F47" s="1">
        <f>+($G$12*(30-$C$22)+$G$13*$C$22)/30</f>
        <v>9.5000000000000015E-3</v>
      </c>
      <c r="G47">
        <f>+F47*Melkepriskalender!$I$6</f>
        <v>85.500000000000014</v>
      </c>
      <c r="H47" s="7">
        <f t="shared" si="12"/>
        <v>634.41000000000008</v>
      </c>
      <c r="I47" s="7">
        <f t="shared" si="14"/>
        <v>618.16500000000008</v>
      </c>
    </row>
    <row r="48" spans="1:12">
      <c r="J48" s="70" t="s">
        <v>70</v>
      </c>
      <c r="K48" s="70"/>
      <c r="L48" s="60"/>
    </row>
    <row r="49" spans="1:12">
      <c r="A49" t="s">
        <v>71</v>
      </c>
      <c r="J49" s="60" t="s">
        <v>1</v>
      </c>
      <c r="K49" s="60" t="s">
        <v>49</v>
      </c>
      <c r="L49" s="60"/>
    </row>
    <row r="50" spans="1:12">
      <c r="A50" s="3">
        <f>+DATE(2019,C50,$B$20)</f>
        <v>43805</v>
      </c>
      <c r="B50">
        <f>+DAY(A50)</f>
        <v>6</v>
      </c>
      <c r="C50">
        <f>+IF(C35&gt;11,1,C35+1)</f>
        <v>12</v>
      </c>
      <c r="D50" s="71" t="s">
        <v>50</v>
      </c>
      <c r="E50" s="71"/>
      <c r="H50" s="70" t="s">
        <v>72</v>
      </c>
      <c r="I50" s="70"/>
      <c r="J50" s="6">
        <f>+SUM(H52:H62)</f>
        <v>53193.54</v>
      </c>
      <c r="K50" s="6">
        <f>+SUM(I52:I62)</f>
        <v>52405.560000000005</v>
      </c>
    </row>
    <row r="51" spans="1:12">
      <c r="C51" t="s">
        <v>73</v>
      </c>
      <c r="D51" s="59" t="s">
        <v>1</v>
      </c>
      <c r="E51" s="59" t="s">
        <v>49</v>
      </c>
      <c r="F51" t="s">
        <v>74</v>
      </c>
      <c r="G51" t="s">
        <v>75</v>
      </c>
      <c r="H51" s="60" t="s">
        <v>1</v>
      </c>
      <c r="I51" s="60" t="s">
        <v>49</v>
      </c>
    </row>
    <row r="52" spans="1:12">
      <c r="A52" t="s">
        <v>76</v>
      </c>
      <c r="B52">
        <f>+C50</f>
        <v>12</v>
      </c>
      <c r="C52">
        <f>30-B50+1</f>
        <v>25</v>
      </c>
      <c r="D52">
        <f t="shared" ref="D52:D62" si="25">+SUMIF($B$3:$B$14,B52,C$3:C$14)</f>
        <v>5.7299999999999995</v>
      </c>
      <c r="E52">
        <f>+SUMIF($B$3:$B$14,$B52,D$3:D$14)</f>
        <v>5.7299999999999995</v>
      </c>
      <c r="F52" s="1">
        <f>+$G$3*$C52/30</f>
        <v>0.10250000000000001</v>
      </c>
      <c r="G52">
        <f>+F52*Melkepriskalender!$I$6</f>
        <v>922.50000000000011</v>
      </c>
      <c r="H52" s="7">
        <f t="shared" ref="H52:H62" si="26">+G52*D52</f>
        <v>5285.9250000000002</v>
      </c>
      <c r="I52" s="7">
        <f>+$G52*E52</f>
        <v>5285.9250000000002</v>
      </c>
    </row>
    <row r="53" spans="1:12">
      <c r="A53" t="s">
        <v>77</v>
      </c>
      <c r="B53">
        <f t="shared" ref="B53:B62" si="27">IF(B52+1&gt;12,1,B52+1)</f>
        <v>1</v>
      </c>
      <c r="C53">
        <v>30</v>
      </c>
      <c r="D53">
        <f t="shared" si="25"/>
        <v>5.29</v>
      </c>
      <c r="E53">
        <f t="shared" ref="E53" si="28">+SUMIF($B$3:$B$14,$B53,D$3:D$14)</f>
        <v>5.27</v>
      </c>
      <c r="F53" s="1">
        <f>+($G$3*(30-$C$22)+$G$4*$C$22)/30</f>
        <v>0.13716666666666669</v>
      </c>
      <c r="G53">
        <f>+F53*Melkepriskalender!$I$6</f>
        <v>1234.5000000000002</v>
      </c>
      <c r="H53" s="7">
        <f t="shared" si="26"/>
        <v>6530.505000000001</v>
      </c>
      <c r="I53" s="7">
        <f t="shared" ref="I53:I62" si="29">+$G53*E53</f>
        <v>6505.8150000000005</v>
      </c>
    </row>
    <row r="54" spans="1:12">
      <c r="A54" t="s">
        <v>78</v>
      </c>
      <c r="B54">
        <f t="shared" si="27"/>
        <v>2</v>
      </c>
      <c r="C54">
        <v>30</v>
      </c>
      <c r="D54">
        <f t="shared" si="25"/>
        <v>5.29</v>
      </c>
      <c r="E54">
        <f t="shared" ref="E54" si="30">+SUMIF($B$3:$B$14,$B54,D$3:D$14)</f>
        <v>5.27</v>
      </c>
      <c r="F54" s="1">
        <f>+($G$4*(30-$C$22)+$G$5*$C$22)/30</f>
        <v>0.13666666666666669</v>
      </c>
      <c r="G54">
        <f>+F54*Melkepriskalender!$I$6</f>
        <v>1230.0000000000002</v>
      </c>
      <c r="H54" s="7">
        <f t="shared" si="26"/>
        <v>6506.7000000000016</v>
      </c>
      <c r="I54" s="7">
        <f t="shared" si="29"/>
        <v>6482.1</v>
      </c>
    </row>
    <row r="55" spans="1:12">
      <c r="A55" t="s">
        <v>79</v>
      </c>
      <c r="B55">
        <f t="shared" si="27"/>
        <v>3</v>
      </c>
      <c r="C55">
        <v>30</v>
      </c>
      <c r="D55">
        <f t="shared" si="25"/>
        <v>5.29</v>
      </c>
      <c r="E55">
        <f t="shared" ref="E55" si="31">+SUMIF($B$3:$B$14,$B55,D$3:D$14)</f>
        <v>5.27</v>
      </c>
      <c r="F55" s="1">
        <f>+($G$5*(30-$C$22)+$G$6*$C$22)/30</f>
        <v>0.11600000000000002</v>
      </c>
      <c r="G55">
        <f>+F55*Melkepriskalender!$I$6</f>
        <v>1044.0000000000002</v>
      </c>
      <c r="H55" s="7">
        <f t="shared" si="26"/>
        <v>5522.7600000000011</v>
      </c>
      <c r="I55" s="7">
        <f t="shared" si="29"/>
        <v>5501.880000000001</v>
      </c>
    </row>
    <row r="56" spans="1:12">
      <c r="A56" t="s">
        <v>80</v>
      </c>
      <c r="B56">
        <f t="shared" si="27"/>
        <v>4</v>
      </c>
      <c r="C56">
        <v>30</v>
      </c>
      <c r="D56">
        <f t="shared" si="25"/>
        <v>5.29</v>
      </c>
      <c r="E56">
        <f t="shared" ref="E56" si="32">+SUMIF($B$3:$B$14,$B56,D$3:D$14)</f>
        <v>5.27</v>
      </c>
      <c r="F56" s="1">
        <f>+($G$6*(30-$C$22)+$G$7*$C$22)/30</f>
        <v>0.10616666666666667</v>
      </c>
      <c r="G56">
        <f>+F56*Melkepriskalender!$I$6</f>
        <v>955.50000000000011</v>
      </c>
      <c r="H56" s="7">
        <f t="shared" si="26"/>
        <v>5054.5950000000003</v>
      </c>
      <c r="I56" s="7">
        <f t="shared" si="29"/>
        <v>5035.4850000000006</v>
      </c>
    </row>
    <row r="57" spans="1:12">
      <c r="A57" t="s">
        <v>81</v>
      </c>
      <c r="B57">
        <f t="shared" si="27"/>
        <v>5</v>
      </c>
      <c r="C57">
        <v>30</v>
      </c>
      <c r="D57">
        <f t="shared" si="25"/>
        <v>5.37</v>
      </c>
      <c r="E57">
        <f t="shared" ref="E57" si="33">+SUMIF($B$3:$B$14,$B57,D$3:D$14)</f>
        <v>5.37</v>
      </c>
      <c r="F57" s="1">
        <f>+($G$7*(30-$C$22)+$G$8*$C$22)/30</f>
        <v>9.6666666666666665E-2</v>
      </c>
      <c r="G57">
        <f>+F57*Melkepriskalender!$I$6</f>
        <v>870</v>
      </c>
      <c r="H57" s="7">
        <f t="shared" si="26"/>
        <v>4671.9000000000005</v>
      </c>
      <c r="I57" s="7">
        <f t="shared" si="29"/>
        <v>4671.9000000000005</v>
      </c>
    </row>
    <row r="58" spans="1:12">
      <c r="A58" t="s">
        <v>82</v>
      </c>
      <c r="B58">
        <f t="shared" si="27"/>
        <v>6</v>
      </c>
      <c r="C58">
        <v>30</v>
      </c>
      <c r="D58">
        <f t="shared" si="25"/>
        <v>6.77</v>
      </c>
      <c r="E58">
        <f t="shared" ref="E58" si="34">+SUMIF($B$3:$B$14,$B58,D$3:D$14)</f>
        <v>6.47</v>
      </c>
      <c r="F58" s="1">
        <f>+($G$8*(30-$C$22)+$G$9*$C$22)/30</f>
        <v>8.7499999999999994E-2</v>
      </c>
      <c r="G58">
        <f>+F58*Melkepriskalender!$I$6</f>
        <v>787.5</v>
      </c>
      <c r="H58" s="7">
        <f t="shared" si="26"/>
        <v>5331.375</v>
      </c>
      <c r="I58" s="7">
        <f t="shared" si="29"/>
        <v>5095.125</v>
      </c>
    </row>
    <row r="59" spans="1:12">
      <c r="A59" t="s">
        <v>83</v>
      </c>
      <c r="B59">
        <f t="shared" si="27"/>
        <v>7</v>
      </c>
      <c r="C59">
        <v>30</v>
      </c>
      <c r="D59">
        <f t="shared" si="25"/>
        <v>7.2799999999999994</v>
      </c>
      <c r="E59">
        <f t="shared" ref="E59" si="35">+SUMIF($B$3:$B$14,$B59,D$3:D$14)</f>
        <v>6.93</v>
      </c>
      <c r="F59" s="1">
        <f>+($G$9*(30-$C$22)+$G$10*$C$22)/30</f>
        <v>7.85E-2</v>
      </c>
      <c r="G59">
        <f>+F59*Melkepriskalender!$I$6</f>
        <v>706.5</v>
      </c>
      <c r="H59" s="7">
        <f t="shared" si="26"/>
        <v>5143.32</v>
      </c>
      <c r="I59" s="7">
        <f t="shared" si="29"/>
        <v>4896.0450000000001</v>
      </c>
    </row>
    <row r="60" spans="1:12">
      <c r="A60" t="s">
        <v>84</v>
      </c>
      <c r="B60">
        <f t="shared" si="27"/>
        <v>8</v>
      </c>
      <c r="C60">
        <v>30</v>
      </c>
      <c r="D60">
        <f t="shared" si="25"/>
        <v>7.42</v>
      </c>
      <c r="E60">
        <f t="shared" ref="E60" si="36">+SUMIF($B$3:$B$14,$B60,D$3:D$14)</f>
        <v>7.2299999999999995</v>
      </c>
      <c r="F60" s="1">
        <f>+($G$10*(30-$C$22)+$G$11*$C$22)/30</f>
        <v>7.0333333333333345E-2</v>
      </c>
      <c r="G60">
        <f>+F60*Melkepriskalender!$I$6</f>
        <v>633.00000000000011</v>
      </c>
      <c r="H60" s="7">
        <f t="shared" si="26"/>
        <v>4696.8600000000006</v>
      </c>
      <c r="I60" s="7">
        <f t="shared" si="29"/>
        <v>4576.59</v>
      </c>
    </row>
    <row r="61" spans="1:12">
      <c r="A61" t="s">
        <v>85</v>
      </c>
      <c r="B61">
        <f t="shared" si="27"/>
        <v>9</v>
      </c>
      <c r="C61">
        <v>30</v>
      </c>
      <c r="D61">
        <f t="shared" si="25"/>
        <v>7.42</v>
      </c>
      <c r="E61">
        <f t="shared" ref="E61" si="37">+SUMIF($B$3:$B$14,$B61,D$3:D$14)</f>
        <v>7.2299999999999995</v>
      </c>
      <c r="F61" s="1">
        <f>+($G$11*(30-$C$22)+$G$12*$C$22)/30</f>
        <v>5.9000000000000004E-2</v>
      </c>
      <c r="G61">
        <f>+F61*Melkepriskalender!$I$6</f>
        <v>531</v>
      </c>
      <c r="H61" s="7">
        <f t="shared" si="26"/>
        <v>3940.02</v>
      </c>
      <c r="I61" s="7">
        <f t="shared" si="29"/>
        <v>3839.1299999999997</v>
      </c>
    </row>
    <row r="62" spans="1:12">
      <c r="A62" t="s">
        <v>86</v>
      </c>
      <c r="B62">
        <f t="shared" si="27"/>
        <v>10</v>
      </c>
      <c r="C62">
        <f>300-SUM(C52:C61)</f>
        <v>5</v>
      </c>
      <c r="D62">
        <f t="shared" si="25"/>
        <v>5.96</v>
      </c>
      <c r="E62">
        <f t="shared" ref="E62" si="38">+SUMIF($B$3:$B$14,$B62,D$3:D$14)</f>
        <v>6.0299999999999994</v>
      </c>
      <c r="F62" s="1">
        <f>+($G$12*(30-$C$22)+$G$13*$C$22)/30</f>
        <v>9.5000000000000015E-3</v>
      </c>
      <c r="G62">
        <f>+F62*Melkepriskalender!$I$6</f>
        <v>85.500000000000014</v>
      </c>
      <c r="H62" s="7">
        <f t="shared" si="26"/>
        <v>509.5800000000001</v>
      </c>
      <c r="I62" s="7">
        <f t="shared" si="29"/>
        <v>515.56500000000005</v>
      </c>
    </row>
    <row r="63" spans="1:12">
      <c r="J63" s="70" t="s">
        <v>70</v>
      </c>
      <c r="K63" s="70"/>
      <c r="L63" s="60"/>
    </row>
    <row r="64" spans="1:12">
      <c r="A64" t="s">
        <v>71</v>
      </c>
      <c r="J64" s="60" t="s">
        <v>1</v>
      </c>
      <c r="K64" s="60" t="s">
        <v>49</v>
      </c>
      <c r="L64" s="60"/>
    </row>
    <row r="65" spans="1:12">
      <c r="A65" s="3">
        <f>+DATE(2019,C65,$B$20)</f>
        <v>43471</v>
      </c>
      <c r="B65">
        <f>+DAY(A65)</f>
        <v>6</v>
      </c>
      <c r="C65">
        <f>+IF(C50&gt;11,1,C50+1)</f>
        <v>1</v>
      </c>
      <c r="D65" s="71" t="s">
        <v>50</v>
      </c>
      <c r="E65" s="71"/>
      <c r="H65" s="70" t="s">
        <v>72</v>
      </c>
      <c r="I65" s="70"/>
      <c r="J65" s="6">
        <f>+SUM(H67:H77)</f>
        <v>53787.69</v>
      </c>
      <c r="K65" s="6">
        <f>+SUM(I67:I77)</f>
        <v>52945.11</v>
      </c>
    </row>
    <row r="66" spans="1:12">
      <c r="C66" t="s">
        <v>73</v>
      </c>
      <c r="D66" s="59" t="s">
        <v>1</v>
      </c>
      <c r="E66" s="59" t="s">
        <v>49</v>
      </c>
      <c r="F66" t="s">
        <v>74</v>
      </c>
      <c r="G66" t="s">
        <v>75</v>
      </c>
      <c r="H66" s="60" t="s">
        <v>1</v>
      </c>
      <c r="I66" s="60" t="s">
        <v>49</v>
      </c>
    </row>
    <row r="67" spans="1:12">
      <c r="A67" t="s">
        <v>76</v>
      </c>
      <c r="B67">
        <f>+C65</f>
        <v>1</v>
      </c>
      <c r="C67">
        <f>30-B65+1</f>
        <v>25</v>
      </c>
      <c r="D67">
        <f t="shared" ref="D67:D77" si="39">+SUMIF($B$3:$B$14,B67,C$3:C$14)</f>
        <v>5.29</v>
      </c>
      <c r="E67">
        <f>+SUMIF($B$3:$B$14,$B67,D$3:D$14)</f>
        <v>5.27</v>
      </c>
      <c r="F67" s="1">
        <f>+$G$3*$C67/30</f>
        <v>0.10250000000000001</v>
      </c>
      <c r="G67">
        <f>+F67*Melkepriskalender!$I$6</f>
        <v>922.50000000000011</v>
      </c>
      <c r="H67" s="7">
        <f t="shared" ref="H67:H77" si="40">+G67*D67</f>
        <v>4880.0250000000005</v>
      </c>
      <c r="I67" s="7">
        <f>+$G67*E67</f>
        <v>4861.5749999999998</v>
      </c>
    </row>
    <row r="68" spans="1:12">
      <c r="A68" t="s">
        <v>77</v>
      </c>
      <c r="B68">
        <f t="shared" ref="B68:B77" si="41">IF(B67+1&gt;12,1,B67+1)</f>
        <v>2</v>
      </c>
      <c r="C68">
        <v>30</v>
      </c>
      <c r="D68">
        <f t="shared" si="39"/>
        <v>5.29</v>
      </c>
      <c r="E68">
        <f t="shared" ref="E68" si="42">+SUMIF($B$3:$B$14,$B68,D$3:D$14)</f>
        <v>5.27</v>
      </c>
      <c r="F68" s="1">
        <f>+($G$3*(30-$C$22)+$G$4*$C$22)/30</f>
        <v>0.13716666666666669</v>
      </c>
      <c r="G68">
        <f>+F68*Melkepriskalender!$I$6</f>
        <v>1234.5000000000002</v>
      </c>
      <c r="H68" s="7">
        <f t="shared" si="40"/>
        <v>6530.505000000001</v>
      </c>
      <c r="I68" s="7">
        <f t="shared" ref="I68:I77" si="43">+$G68*E68</f>
        <v>6505.8150000000005</v>
      </c>
    </row>
    <row r="69" spans="1:12">
      <c r="A69" t="s">
        <v>78</v>
      </c>
      <c r="B69">
        <f t="shared" si="41"/>
        <v>3</v>
      </c>
      <c r="C69">
        <v>30</v>
      </c>
      <c r="D69">
        <f t="shared" si="39"/>
        <v>5.29</v>
      </c>
      <c r="E69">
        <f t="shared" ref="E69" si="44">+SUMIF($B$3:$B$14,$B69,D$3:D$14)</f>
        <v>5.27</v>
      </c>
      <c r="F69" s="1">
        <f>+($G$4*(30-$C$22)+$G$5*$C$22)/30</f>
        <v>0.13666666666666669</v>
      </c>
      <c r="G69">
        <f>+F69*Melkepriskalender!$I$6</f>
        <v>1230.0000000000002</v>
      </c>
      <c r="H69" s="7">
        <f t="shared" si="40"/>
        <v>6506.7000000000016</v>
      </c>
      <c r="I69" s="7">
        <f t="shared" si="43"/>
        <v>6482.1</v>
      </c>
    </row>
    <row r="70" spans="1:12">
      <c r="A70" t="s">
        <v>79</v>
      </c>
      <c r="B70">
        <f t="shared" si="41"/>
        <v>4</v>
      </c>
      <c r="C70">
        <v>30</v>
      </c>
      <c r="D70">
        <f t="shared" si="39"/>
        <v>5.29</v>
      </c>
      <c r="E70">
        <f t="shared" ref="E70" si="45">+SUMIF($B$3:$B$14,$B70,D$3:D$14)</f>
        <v>5.27</v>
      </c>
      <c r="F70" s="1">
        <f>+($G$5*(30-$C$22)+$G$6*$C$22)/30</f>
        <v>0.11600000000000002</v>
      </c>
      <c r="G70">
        <f>+F70*Melkepriskalender!$I$6</f>
        <v>1044.0000000000002</v>
      </c>
      <c r="H70" s="7">
        <f t="shared" si="40"/>
        <v>5522.7600000000011</v>
      </c>
      <c r="I70" s="7">
        <f t="shared" si="43"/>
        <v>5501.880000000001</v>
      </c>
    </row>
    <row r="71" spans="1:12">
      <c r="A71" t="s">
        <v>80</v>
      </c>
      <c r="B71">
        <f t="shared" si="41"/>
        <v>5</v>
      </c>
      <c r="C71">
        <v>30</v>
      </c>
      <c r="D71">
        <f t="shared" si="39"/>
        <v>5.37</v>
      </c>
      <c r="E71">
        <f t="shared" ref="E71" si="46">+SUMIF($B$3:$B$14,$B71,D$3:D$14)</f>
        <v>5.37</v>
      </c>
      <c r="F71" s="1">
        <f>+($G$6*(30-$C$22)+$G$7*$C$22)/30</f>
        <v>0.10616666666666667</v>
      </c>
      <c r="G71">
        <f>+F71*Melkepriskalender!$I$6</f>
        <v>955.50000000000011</v>
      </c>
      <c r="H71" s="7">
        <f t="shared" si="40"/>
        <v>5131.0350000000008</v>
      </c>
      <c r="I71" s="7">
        <f t="shared" si="43"/>
        <v>5131.0350000000008</v>
      </c>
    </row>
    <row r="72" spans="1:12">
      <c r="A72" t="s">
        <v>81</v>
      </c>
      <c r="B72">
        <f t="shared" si="41"/>
        <v>6</v>
      </c>
      <c r="C72">
        <v>30</v>
      </c>
      <c r="D72">
        <f t="shared" si="39"/>
        <v>6.77</v>
      </c>
      <c r="E72">
        <f t="shared" ref="E72" si="47">+SUMIF($B$3:$B$14,$B72,D$3:D$14)</f>
        <v>6.47</v>
      </c>
      <c r="F72" s="1">
        <f>+($G$7*(30-$C$22)+$G$8*$C$22)/30</f>
        <v>9.6666666666666665E-2</v>
      </c>
      <c r="G72">
        <f>+F72*Melkepriskalender!$I$6</f>
        <v>870</v>
      </c>
      <c r="H72" s="7">
        <f t="shared" si="40"/>
        <v>5889.9</v>
      </c>
      <c r="I72" s="7">
        <f t="shared" si="43"/>
        <v>5628.9</v>
      </c>
    </row>
    <row r="73" spans="1:12">
      <c r="A73" t="s">
        <v>82</v>
      </c>
      <c r="B73">
        <f t="shared" si="41"/>
        <v>7</v>
      </c>
      <c r="C73">
        <v>30</v>
      </c>
      <c r="D73">
        <f t="shared" si="39"/>
        <v>7.2799999999999994</v>
      </c>
      <c r="E73">
        <f t="shared" ref="E73" si="48">+SUMIF($B$3:$B$14,$B73,D$3:D$14)</f>
        <v>6.93</v>
      </c>
      <c r="F73" s="1">
        <f>+($G$8*(30-$C$22)+$G$9*$C$22)/30</f>
        <v>8.7499999999999994E-2</v>
      </c>
      <c r="G73">
        <f>+F73*Melkepriskalender!$I$6</f>
        <v>787.5</v>
      </c>
      <c r="H73" s="7">
        <f t="shared" si="40"/>
        <v>5732.9999999999991</v>
      </c>
      <c r="I73" s="7">
        <f t="shared" si="43"/>
        <v>5457.375</v>
      </c>
    </row>
    <row r="74" spans="1:12">
      <c r="A74" t="s">
        <v>83</v>
      </c>
      <c r="B74">
        <f t="shared" si="41"/>
        <v>8</v>
      </c>
      <c r="C74">
        <v>30</v>
      </c>
      <c r="D74">
        <f t="shared" si="39"/>
        <v>7.42</v>
      </c>
      <c r="E74">
        <f t="shared" ref="E74" si="49">+SUMIF($B$3:$B$14,$B74,D$3:D$14)</f>
        <v>7.2299999999999995</v>
      </c>
      <c r="F74" s="1">
        <f>+($G$9*(30-$C$22)+$G$10*$C$22)/30</f>
        <v>7.85E-2</v>
      </c>
      <c r="G74">
        <f>+F74*Melkepriskalender!$I$6</f>
        <v>706.5</v>
      </c>
      <c r="H74" s="7">
        <f t="shared" si="40"/>
        <v>5242.2299999999996</v>
      </c>
      <c r="I74" s="7">
        <f t="shared" si="43"/>
        <v>5107.9949999999999</v>
      </c>
    </row>
    <row r="75" spans="1:12">
      <c r="A75" t="s">
        <v>84</v>
      </c>
      <c r="B75">
        <f t="shared" si="41"/>
        <v>9</v>
      </c>
      <c r="C75">
        <v>30</v>
      </c>
      <c r="D75">
        <f t="shared" si="39"/>
        <v>7.42</v>
      </c>
      <c r="E75">
        <f t="shared" ref="E75" si="50">+SUMIF($B$3:$B$14,$B75,D$3:D$14)</f>
        <v>7.2299999999999995</v>
      </c>
      <c r="F75" s="1">
        <f>+($G$10*(30-$C$22)+$G$11*$C$22)/30</f>
        <v>7.0333333333333345E-2</v>
      </c>
      <c r="G75">
        <f>+F75*Melkepriskalender!$I$6</f>
        <v>633.00000000000011</v>
      </c>
      <c r="H75" s="7">
        <f t="shared" si="40"/>
        <v>4696.8600000000006</v>
      </c>
      <c r="I75" s="7">
        <f t="shared" si="43"/>
        <v>4576.59</v>
      </c>
    </row>
    <row r="76" spans="1:12">
      <c r="A76" t="s">
        <v>85</v>
      </c>
      <c r="B76">
        <f t="shared" si="41"/>
        <v>10</v>
      </c>
      <c r="C76">
        <v>30</v>
      </c>
      <c r="D76">
        <f t="shared" si="39"/>
        <v>5.96</v>
      </c>
      <c r="E76">
        <f t="shared" ref="E76" si="51">+SUMIF($B$3:$B$14,$B76,D$3:D$14)</f>
        <v>6.0299999999999994</v>
      </c>
      <c r="F76" s="1">
        <f>+($G$11*(30-$C$22)+$G$12*$C$22)/30</f>
        <v>5.9000000000000004E-2</v>
      </c>
      <c r="G76">
        <f>+F76*Melkepriskalender!$I$6</f>
        <v>531</v>
      </c>
      <c r="H76" s="7">
        <f t="shared" si="40"/>
        <v>3164.7599999999998</v>
      </c>
      <c r="I76" s="7">
        <f t="shared" si="43"/>
        <v>3201.93</v>
      </c>
    </row>
    <row r="77" spans="1:12">
      <c r="A77" t="s">
        <v>86</v>
      </c>
      <c r="B77">
        <f t="shared" si="41"/>
        <v>11</v>
      </c>
      <c r="C77">
        <f>300-SUM(C67:C76)</f>
        <v>5</v>
      </c>
      <c r="D77">
        <f t="shared" si="39"/>
        <v>5.7299999999999995</v>
      </c>
      <c r="E77">
        <f t="shared" ref="E77" si="52">+SUMIF($B$3:$B$14,$B77,D$3:D$14)</f>
        <v>5.7299999999999995</v>
      </c>
      <c r="F77" s="1">
        <f>+($G$12*(30-$C$22)+$G$13*$C$22)/30</f>
        <v>9.5000000000000015E-3</v>
      </c>
      <c r="G77">
        <f>+F77*Melkepriskalender!$I$6</f>
        <v>85.500000000000014</v>
      </c>
      <c r="H77" s="7">
        <f t="shared" si="40"/>
        <v>489.91500000000002</v>
      </c>
      <c r="I77" s="7">
        <f t="shared" si="43"/>
        <v>489.91500000000002</v>
      </c>
    </row>
    <row r="78" spans="1:12">
      <c r="J78" s="70" t="s">
        <v>70</v>
      </c>
      <c r="K78" s="70"/>
      <c r="L78" s="60"/>
    </row>
    <row r="79" spans="1:12">
      <c r="A79" t="s">
        <v>71</v>
      </c>
      <c r="J79" s="60" t="s">
        <v>1</v>
      </c>
      <c r="K79" s="60" t="s">
        <v>49</v>
      </c>
      <c r="L79" s="60"/>
    </row>
    <row r="80" spans="1:12">
      <c r="A80" s="3">
        <f>+DATE(2019,C80,$B$20)</f>
        <v>43502</v>
      </c>
      <c r="B80">
        <f>+DAY(A80)</f>
        <v>6</v>
      </c>
      <c r="C80">
        <f>+IF(C65&gt;11,1,C65+1)</f>
        <v>2</v>
      </c>
      <c r="D80" s="71" t="s">
        <v>50</v>
      </c>
      <c r="E80" s="71"/>
      <c r="H80" s="70" t="s">
        <v>72</v>
      </c>
      <c r="I80" s="70"/>
      <c r="J80" s="6">
        <f>+SUM(H82:H92)</f>
        <v>54716.55000000001</v>
      </c>
      <c r="K80" s="6">
        <f>+SUM(I82:I92)</f>
        <v>53818.11</v>
      </c>
    </row>
    <row r="81" spans="1:12">
      <c r="C81" t="s">
        <v>73</v>
      </c>
      <c r="D81" s="59" t="s">
        <v>1</v>
      </c>
      <c r="E81" s="59" t="s">
        <v>49</v>
      </c>
      <c r="F81" t="s">
        <v>74</v>
      </c>
      <c r="G81" t="s">
        <v>75</v>
      </c>
      <c r="H81" s="60" t="s">
        <v>1</v>
      </c>
      <c r="I81" s="60" t="s">
        <v>49</v>
      </c>
    </row>
    <row r="82" spans="1:12">
      <c r="A82" t="s">
        <v>76</v>
      </c>
      <c r="B82">
        <f>+C80</f>
        <v>2</v>
      </c>
      <c r="C82">
        <f>30-B80+1</f>
        <v>25</v>
      </c>
      <c r="D82">
        <f t="shared" ref="D82:D92" si="53">+SUMIF($B$3:$B$14,B82,C$3:C$14)</f>
        <v>5.29</v>
      </c>
      <c r="E82">
        <f>+SUMIF($B$3:$B$14,$B82,D$3:D$14)</f>
        <v>5.27</v>
      </c>
      <c r="F82" s="1">
        <f>+$G$3*$C82/30</f>
        <v>0.10250000000000001</v>
      </c>
      <c r="G82">
        <f>+F82*Melkepriskalender!$I$6</f>
        <v>922.50000000000011</v>
      </c>
      <c r="H82" s="7">
        <f t="shared" ref="H82:H92" si="54">+G82*D82</f>
        <v>4880.0250000000005</v>
      </c>
      <c r="I82" s="7">
        <f>+$G82*E82</f>
        <v>4861.5749999999998</v>
      </c>
    </row>
    <row r="83" spans="1:12">
      <c r="A83" t="s">
        <v>77</v>
      </c>
      <c r="B83">
        <f t="shared" ref="B83:B92" si="55">IF(B82+1&gt;12,1,B82+1)</f>
        <v>3</v>
      </c>
      <c r="C83">
        <v>30</v>
      </c>
      <c r="D83">
        <f t="shared" si="53"/>
        <v>5.29</v>
      </c>
      <c r="E83">
        <f t="shared" ref="E83" si="56">+SUMIF($B$3:$B$14,$B83,D$3:D$14)</f>
        <v>5.27</v>
      </c>
      <c r="F83" s="1">
        <f>+($G$3*(30-$C$22)+$G$4*$C$22)/30</f>
        <v>0.13716666666666669</v>
      </c>
      <c r="G83">
        <f>+F83*Melkepriskalender!$I$6</f>
        <v>1234.5000000000002</v>
      </c>
      <c r="H83" s="7">
        <f t="shared" si="54"/>
        <v>6530.505000000001</v>
      </c>
      <c r="I83" s="7">
        <f t="shared" ref="I83:I92" si="57">+$G83*E83</f>
        <v>6505.8150000000005</v>
      </c>
    </row>
    <row r="84" spans="1:12">
      <c r="A84" t="s">
        <v>78</v>
      </c>
      <c r="B84">
        <f t="shared" si="55"/>
        <v>4</v>
      </c>
      <c r="C84">
        <v>30</v>
      </c>
      <c r="D84">
        <f t="shared" si="53"/>
        <v>5.29</v>
      </c>
      <c r="E84">
        <f t="shared" ref="E84" si="58">+SUMIF($B$3:$B$14,$B84,D$3:D$14)</f>
        <v>5.27</v>
      </c>
      <c r="F84" s="1">
        <f>+($G$4*(30-$C$22)+$G$5*$C$22)/30</f>
        <v>0.13666666666666669</v>
      </c>
      <c r="G84">
        <f>+F84*Melkepriskalender!$I$6</f>
        <v>1230.0000000000002</v>
      </c>
      <c r="H84" s="7">
        <f t="shared" si="54"/>
        <v>6506.7000000000016</v>
      </c>
      <c r="I84" s="7">
        <f t="shared" si="57"/>
        <v>6482.1</v>
      </c>
    </row>
    <row r="85" spans="1:12">
      <c r="A85" t="s">
        <v>79</v>
      </c>
      <c r="B85">
        <f t="shared" si="55"/>
        <v>5</v>
      </c>
      <c r="C85">
        <v>30</v>
      </c>
      <c r="D85">
        <f t="shared" si="53"/>
        <v>5.37</v>
      </c>
      <c r="E85">
        <f t="shared" ref="E85" si="59">+SUMIF($B$3:$B$14,$B85,D$3:D$14)</f>
        <v>5.37</v>
      </c>
      <c r="F85" s="1">
        <f>+($G$5*(30-$C$22)+$G$6*$C$22)/30</f>
        <v>0.11600000000000002</v>
      </c>
      <c r="G85">
        <f>+F85*Melkepriskalender!$I$6</f>
        <v>1044.0000000000002</v>
      </c>
      <c r="H85" s="7">
        <f t="shared" si="54"/>
        <v>5606.2800000000016</v>
      </c>
      <c r="I85" s="7">
        <f t="shared" si="57"/>
        <v>5606.2800000000016</v>
      </c>
    </row>
    <row r="86" spans="1:12">
      <c r="A86" t="s">
        <v>80</v>
      </c>
      <c r="B86">
        <f t="shared" si="55"/>
        <v>6</v>
      </c>
      <c r="C86">
        <v>30</v>
      </c>
      <c r="D86">
        <f t="shared" si="53"/>
        <v>6.77</v>
      </c>
      <c r="E86">
        <f t="shared" ref="E86" si="60">+SUMIF($B$3:$B$14,$B86,D$3:D$14)</f>
        <v>6.47</v>
      </c>
      <c r="F86" s="1">
        <f>+($G$6*(30-$C$22)+$G$7*$C$22)/30</f>
        <v>0.10616666666666667</v>
      </c>
      <c r="G86">
        <f>+F86*Melkepriskalender!$I$6</f>
        <v>955.50000000000011</v>
      </c>
      <c r="H86" s="7">
        <f t="shared" si="54"/>
        <v>6468.7350000000006</v>
      </c>
      <c r="I86" s="7">
        <f t="shared" si="57"/>
        <v>6182.0850000000009</v>
      </c>
    </row>
    <row r="87" spans="1:12">
      <c r="A87" t="s">
        <v>81</v>
      </c>
      <c r="B87">
        <f t="shared" si="55"/>
        <v>7</v>
      </c>
      <c r="C87">
        <v>30</v>
      </c>
      <c r="D87">
        <f t="shared" si="53"/>
        <v>7.2799999999999994</v>
      </c>
      <c r="E87">
        <f t="shared" ref="E87" si="61">+SUMIF($B$3:$B$14,$B87,D$3:D$14)</f>
        <v>6.93</v>
      </c>
      <c r="F87" s="1">
        <f>+($G$7*(30-$C$22)+$G$8*$C$22)/30</f>
        <v>9.6666666666666665E-2</v>
      </c>
      <c r="G87">
        <f>+F87*Melkepriskalender!$I$6</f>
        <v>870</v>
      </c>
      <c r="H87" s="7">
        <f t="shared" si="54"/>
        <v>6333.5999999999995</v>
      </c>
      <c r="I87" s="7">
        <f t="shared" si="57"/>
        <v>6029.0999999999995</v>
      </c>
    </row>
    <row r="88" spans="1:12">
      <c r="A88" t="s">
        <v>82</v>
      </c>
      <c r="B88">
        <f t="shared" si="55"/>
        <v>8</v>
      </c>
      <c r="C88">
        <v>30</v>
      </c>
      <c r="D88">
        <f t="shared" si="53"/>
        <v>7.42</v>
      </c>
      <c r="E88">
        <f t="shared" ref="E88" si="62">+SUMIF($B$3:$B$14,$B88,D$3:D$14)</f>
        <v>7.2299999999999995</v>
      </c>
      <c r="F88" s="1">
        <f>+($G$8*(30-$C$22)+$G$9*$C$22)/30</f>
        <v>8.7499999999999994E-2</v>
      </c>
      <c r="G88">
        <f>+F88*Melkepriskalender!$I$6</f>
        <v>787.5</v>
      </c>
      <c r="H88" s="7">
        <f t="shared" si="54"/>
        <v>5843.25</v>
      </c>
      <c r="I88" s="7">
        <f t="shared" si="57"/>
        <v>5693.625</v>
      </c>
    </row>
    <row r="89" spans="1:12">
      <c r="A89" t="s">
        <v>83</v>
      </c>
      <c r="B89">
        <f t="shared" si="55"/>
        <v>9</v>
      </c>
      <c r="C89">
        <v>30</v>
      </c>
      <c r="D89">
        <f t="shared" si="53"/>
        <v>7.42</v>
      </c>
      <c r="E89">
        <f t="shared" ref="E89" si="63">+SUMIF($B$3:$B$14,$B89,D$3:D$14)</f>
        <v>7.2299999999999995</v>
      </c>
      <c r="F89" s="1">
        <f>+($G$9*(30-$C$22)+$G$10*$C$22)/30</f>
        <v>7.85E-2</v>
      </c>
      <c r="G89">
        <f>+F89*Melkepriskalender!$I$6</f>
        <v>706.5</v>
      </c>
      <c r="H89" s="7">
        <f t="shared" si="54"/>
        <v>5242.2299999999996</v>
      </c>
      <c r="I89" s="7">
        <f t="shared" si="57"/>
        <v>5107.9949999999999</v>
      </c>
    </row>
    <row r="90" spans="1:12">
      <c r="A90" t="s">
        <v>84</v>
      </c>
      <c r="B90">
        <f t="shared" si="55"/>
        <v>10</v>
      </c>
      <c r="C90">
        <v>30</v>
      </c>
      <c r="D90">
        <f t="shared" si="53"/>
        <v>5.96</v>
      </c>
      <c r="E90">
        <f t="shared" ref="E90" si="64">+SUMIF($B$3:$B$14,$B90,D$3:D$14)</f>
        <v>6.0299999999999994</v>
      </c>
      <c r="F90" s="1">
        <f>+($G$10*(30-$C$22)+$G$11*$C$22)/30</f>
        <v>7.0333333333333345E-2</v>
      </c>
      <c r="G90">
        <f>+F90*Melkepriskalender!$I$6</f>
        <v>633.00000000000011</v>
      </c>
      <c r="H90" s="7">
        <f t="shared" si="54"/>
        <v>3772.6800000000007</v>
      </c>
      <c r="I90" s="7">
        <f t="shared" si="57"/>
        <v>3816.9900000000002</v>
      </c>
    </row>
    <row r="91" spans="1:12">
      <c r="A91" t="s">
        <v>85</v>
      </c>
      <c r="B91">
        <f t="shared" si="55"/>
        <v>11</v>
      </c>
      <c r="C91">
        <v>30</v>
      </c>
      <c r="D91">
        <f t="shared" si="53"/>
        <v>5.7299999999999995</v>
      </c>
      <c r="E91">
        <f t="shared" ref="E91" si="65">+SUMIF($B$3:$B$14,$B91,D$3:D$14)</f>
        <v>5.7299999999999995</v>
      </c>
      <c r="F91" s="1">
        <f>+($G$11*(30-$C$22)+$G$12*$C$22)/30</f>
        <v>5.9000000000000004E-2</v>
      </c>
      <c r="G91">
        <f>+F91*Melkepriskalender!$I$6</f>
        <v>531</v>
      </c>
      <c r="H91" s="7">
        <f t="shared" si="54"/>
        <v>3042.6299999999997</v>
      </c>
      <c r="I91" s="7">
        <f t="shared" si="57"/>
        <v>3042.6299999999997</v>
      </c>
    </row>
    <row r="92" spans="1:12">
      <c r="A92" t="s">
        <v>86</v>
      </c>
      <c r="B92">
        <f t="shared" si="55"/>
        <v>12</v>
      </c>
      <c r="C92">
        <f>300-SUM(C82:C91)</f>
        <v>5</v>
      </c>
      <c r="D92">
        <f t="shared" si="53"/>
        <v>5.7299999999999995</v>
      </c>
      <c r="E92">
        <f t="shared" ref="E92" si="66">+SUMIF($B$3:$B$14,$B92,D$3:D$14)</f>
        <v>5.7299999999999995</v>
      </c>
      <c r="F92" s="1">
        <f>+($G$12*(30-$C$22)+$G$13*$C$22)/30</f>
        <v>9.5000000000000015E-3</v>
      </c>
      <c r="G92">
        <f>+F92*Melkepriskalender!$I$6</f>
        <v>85.500000000000014</v>
      </c>
      <c r="H92" s="7">
        <f t="shared" si="54"/>
        <v>489.91500000000002</v>
      </c>
      <c r="I92" s="7">
        <f t="shared" si="57"/>
        <v>489.91500000000002</v>
      </c>
    </row>
    <row r="93" spans="1:12">
      <c r="J93" s="70" t="s">
        <v>70</v>
      </c>
      <c r="K93" s="70"/>
      <c r="L93" s="60"/>
    </row>
    <row r="94" spans="1:12">
      <c r="A94" t="s">
        <v>71</v>
      </c>
      <c r="J94" s="60" t="s">
        <v>1</v>
      </c>
      <c r="K94" s="60" t="s">
        <v>49</v>
      </c>
      <c r="L94" s="60"/>
    </row>
    <row r="95" spans="1:12">
      <c r="A95" s="3">
        <f>+DATE(2019,C95,$B$20)</f>
        <v>43530</v>
      </c>
      <c r="B95">
        <f>+DAY(A95)</f>
        <v>6</v>
      </c>
      <c r="C95">
        <f>+IF(C80&gt;11,1,C80+1)</f>
        <v>3</v>
      </c>
      <c r="D95" s="71" t="s">
        <v>50</v>
      </c>
      <c r="E95" s="71"/>
      <c r="H95" s="70" t="s">
        <v>72</v>
      </c>
      <c r="I95" s="70"/>
      <c r="J95" s="6">
        <f>+SUM(H97:H107)</f>
        <v>55670.954999999994</v>
      </c>
      <c r="K95" s="6">
        <f>+SUM(I97:I107)</f>
        <v>54713.009999999995</v>
      </c>
    </row>
    <row r="96" spans="1:12">
      <c r="C96" t="s">
        <v>73</v>
      </c>
      <c r="D96" s="59" t="s">
        <v>1</v>
      </c>
      <c r="E96" s="59" t="s">
        <v>49</v>
      </c>
      <c r="F96" t="s">
        <v>74</v>
      </c>
      <c r="G96" t="s">
        <v>75</v>
      </c>
      <c r="H96" s="60" t="s">
        <v>1</v>
      </c>
      <c r="I96" s="60" t="s">
        <v>49</v>
      </c>
    </row>
    <row r="97" spans="1:12">
      <c r="A97" t="s">
        <v>76</v>
      </c>
      <c r="B97">
        <f>+C95</f>
        <v>3</v>
      </c>
      <c r="C97">
        <f>30-B95+1</f>
        <v>25</v>
      </c>
      <c r="D97">
        <f t="shared" ref="D97:D107" si="67">+SUMIF($B$3:$B$14,B97,C$3:C$14)</f>
        <v>5.29</v>
      </c>
      <c r="E97">
        <f>+SUMIF($B$3:$B$14,$B97,D$3:D$14)</f>
        <v>5.27</v>
      </c>
      <c r="F97" s="1">
        <f>+$G$3*$C97/30</f>
        <v>0.10250000000000001</v>
      </c>
      <c r="G97">
        <f>+F97*Melkepriskalender!$I$6</f>
        <v>922.50000000000011</v>
      </c>
      <c r="H97" s="7">
        <f t="shared" ref="H97:H107" si="68">+G97*D97</f>
        <v>4880.0250000000005</v>
      </c>
      <c r="I97" s="7">
        <f>+$G97*E97</f>
        <v>4861.5749999999998</v>
      </c>
    </row>
    <row r="98" spans="1:12">
      <c r="A98" t="s">
        <v>77</v>
      </c>
      <c r="B98">
        <f t="shared" ref="B98:B107" si="69">IF(B97+1&gt;12,1,B97+1)</f>
        <v>4</v>
      </c>
      <c r="C98">
        <v>30</v>
      </c>
      <c r="D98">
        <f t="shared" si="67"/>
        <v>5.29</v>
      </c>
      <c r="E98">
        <f t="shared" ref="E98" si="70">+SUMIF($B$3:$B$14,$B98,D$3:D$14)</f>
        <v>5.27</v>
      </c>
      <c r="F98" s="1">
        <f>+($G$3*(30-$C$22)+$G$4*$C$22)/30</f>
        <v>0.13716666666666669</v>
      </c>
      <c r="G98">
        <f>+F98*Melkepriskalender!$I$6</f>
        <v>1234.5000000000002</v>
      </c>
      <c r="H98" s="7">
        <f t="shared" si="68"/>
        <v>6530.505000000001</v>
      </c>
      <c r="I98" s="7">
        <f t="shared" ref="I98:I107" si="71">+$G98*E98</f>
        <v>6505.8150000000005</v>
      </c>
    </row>
    <row r="99" spans="1:12">
      <c r="A99" t="s">
        <v>78</v>
      </c>
      <c r="B99">
        <f t="shared" si="69"/>
        <v>5</v>
      </c>
      <c r="C99">
        <v>30</v>
      </c>
      <c r="D99">
        <f t="shared" si="67"/>
        <v>5.37</v>
      </c>
      <c r="E99">
        <f t="shared" ref="E99" si="72">+SUMIF($B$3:$B$14,$B99,D$3:D$14)</f>
        <v>5.37</v>
      </c>
      <c r="F99" s="1">
        <f>+($G$4*(30-$C$22)+$G$5*$C$22)/30</f>
        <v>0.13666666666666669</v>
      </c>
      <c r="G99">
        <f>+F99*Melkepriskalender!$I$6</f>
        <v>1230.0000000000002</v>
      </c>
      <c r="H99" s="7">
        <f t="shared" si="68"/>
        <v>6605.1000000000013</v>
      </c>
      <c r="I99" s="7">
        <f t="shared" si="71"/>
        <v>6605.1000000000013</v>
      </c>
    </row>
    <row r="100" spans="1:12">
      <c r="A100" t="s">
        <v>79</v>
      </c>
      <c r="B100">
        <f t="shared" si="69"/>
        <v>6</v>
      </c>
      <c r="C100">
        <v>30</v>
      </c>
      <c r="D100">
        <f t="shared" si="67"/>
        <v>6.77</v>
      </c>
      <c r="E100">
        <f t="shared" ref="E100" si="73">+SUMIF($B$3:$B$14,$B100,D$3:D$14)</f>
        <v>6.47</v>
      </c>
      <c r="F100" s="1">
        <f>+($G$5*(30-$C$22)+$G$6*$C$22)/30</f>
        <v>0.11600000000000002</v>
      </c>
      <c r="G100">
        <f>+F100*Melkepriskalender!$I$6</f>
        <v>1044.0000000000002</v>
      </c>
      <c r="H100" s="7">
        <f t="shared" si="68"/>
        <v>7067.880000000001</v>
      </c>
      <c r="I100" s="7">
        <f t="shared" si="71"/>
        <v>6754.6800000000012</v>
      </c>
    </row>
    <row r="101" spans="1:12">
      <c r="A101" t="s">
        <v>80</v>
      </c>
      <c r="B101">
        <f t="shared" si="69"/>
        <v>7</v>
      </c>
      <c r="C101">
        <v>30</v>
      </c>
      <c r="D101">
        <f t="shared" si="67"/>
        <v>7.2799999999999994</v>
      </c>
      <c r="E101">
        <f t="shared" ref="E101" si="74">+SUMIF($B$3:$B$14,$B101,D$3:D$14)</f>
        <v>6.93</v>
      </c>
      <c r="F101" s="1">
        <f>+($G$6*(30-$C$22)+$G$7*$C$22)/30</f>
        <v>0.10616666666666667</v>
      </c>
      <c r="G101">
        <f>+F101*Melkepriskalender!$I$6</f>
        <v>955.50000000000011</v>
      </c>
      <c r="H101" s="7">
        <f t="shared" si="68"/>
        <v>6956.04</v>
      </c>
      <c r="I101" s="7">
        <f t="shared" si="71"/>
        <v>6621.6150000000007</v>
      </c>
    </row>
    <row r="102" spans="1:12">
      <c r="A102" t="s">
        <v>81</v>
      </c>
      <c r="B102">
        <f t="shared" si="69"/>
        <v>8</v>
      </c>
      <c r="C102">
        <v>30</v>
      </c>
      <c r="D102">
        <f t="shared" si="67"/>
        <v>7.42</v>
      </c>
      <c r="E102">
        <f t="shared" ref="E102" si="75">+SUMIF($B$3:$B$14,$B102,D$3:D$14)</f>
        <v>7.2299999999999995</v>
      </c>
      <c r="F102" s="1">
        <f>+($G$7*(30-$C$22)+$G$8*$C$22)/30</f>
        <v>9.6666666666666665E-2</v>
      </c>
      <c r="G102">
        <f>+F102*Melkepriskalender!$I$6</f>
        <v>870</v>
      </c>
      <c r="H102" s="7">
        <f t="shared" si="68"/>
        <v>6455.4</v>
      </c>
      <c r="I102" s="7">
        <f t="shared" si="71"/>
        <v>6290.0999999999995</v>
      </c>
    </row>
    <row r="103" spans="1:12">
      <c r="A103" t="s">
        <v>82</v>
      </c>
      <c r="B103">
        <f t="shared" si="69"/>
        <v>9</v>
      </c>
      <c r="C103">
        <v>30</v>
      </c>
      <c r="D103">
        <f t="shared" si="67"/>
        <v>7.42</v>
      </c>
      <c r="E103">
        <f t="shared" ref="E103" si="76">+SUMIF($B$3:$B$14,$B103,D$3:D$14)</f>
        <v>7.2299999999999995</v>
      </c>
      <c r="F103" s="1">
        <f>+($G$8*(30-$C$22)+$G$9*$C$22)/30</f>
        <v>8.7499999999999994E-2</v>
      </c>
      <c r="G103">
        <f>+F103*Melkepriskalender!$I$6</f>
        <v>787.5</v>
      </c>
      <c r="H103" s="7">
        <f t="shared" si="68"/>
        <v>5843.25</v>
      </c>
      <c r="I103" s="7">
        <f t="shared" si="71"/>
        <v>5693.625</v>
      </c>
    </row>
    <row r="104" spans="1:12">
      <c r="A104" t="s">
        <v>83</v>
      </c>
      <c r="B104">
        <f t="shared" si="69"/>
        <v>10</v>
      </c>
      <c r="C104">
        <v>30</v>
      </c>
      <c r="D104">
        <f t="shared" si="67"/>
        <v>5.96</v>
      </c>
      <c r="E104">
        <f t="shared" ref="E104" si="77">+SUMIF($B$3:$B$14,$B104,D$3:D$14)</f>
        <v>6.0299999999999994</v>
      </c>
      <c r="F104" s="1">
        <f>+($G$9*(30-$C$22)+$G$10*$C$22)/30</f>
        <v>7.85E-2</v>
      </c>
      <c r="G104">
        <f>+F104*Melkepriskalender!$I$6</f>
        <v>706.5</v>
      </c>
      <c r="H104" s="7">
        <f t="shared" si="68"/>
        <v>4210.74</v>
      </c>
      <c r="I104" s="7">
        <f t="shared" si="71"/>
        <v>4260.1949999999997</v>
      </c>
    </row>
    <row r="105" spans="1:12">
      <c r="A105" t="s">
        <v>84</v>
      </c>
      <c r="B105">
        <f t="shared" si="69"/>
        <v>11</v>
      </c>
      <c r="C105">
        <v>30</v>
      </c>
      <c r="D105">
        <f t="shared" si="67"/>
        <v>5.7299999999999995</v>
      </c>
      <c r="E105">
        <f t="shared" ref="E105" si="78">+SUMIF($B$3:$B$14,$B105,D$3:D$14)</f>
        <v>5.7299999999999995</v>
      </c>
      <c r="F105" s="1">
        <f>+($G$10*(30-$C$22)+$G$11*$C$22)/30</f>
        <v>7.0333333333333345E-2</v>
      </c>
      <c r="G105">
        <f>+F105*Melkepriskalender!$I$6</f>
        <v>633.00000000000011</v>
      </c>
      <c r="H105" s="7">
        <f t="shared" si="68"/>
        <v>3627.09</v>
      </c>
      <c r="I105" s="7">
        <f t="shared" si="71"/>
        <v>3627.09</v>
      </c>
    </row>
    <row r="106" spans="1:12">
      <c r="A106" t="s">
        <v>85</v>
      </c>
      <c r="B106">
        <f t="shared" si="69"/>
        <v>12</v>
      </c>
      <c r="C106">
        <v>30</v>
      </c>
      <c r="D106">
        <f t="shared" si="67"/>
        <v>5.7299999999999995</v>
      </c>
      <c r="E106">
        <f t="shared" ref="E106" si="79">+SUMIF($B$3:$B$14,$B106,D$3:D$14)</f>
        <v>5.7299999999999995</v>
      </c>
      <c r="F106" s="1">
        <f>+($G$11*(30-$C$22)+$G$12*$C$22)/30</f>
        <v>5.9000000000000004E-2</v>
      </c>
      <c r="G106">
        <f>+F106*Melkepriskalender!$I$6</f>
        <v>531</v>
      </c>
      <c r="H106" s="7">
        <f t="shared" si="68"/>
        <v>3042.6299999999997</v>
      </c>
      <c r="I106" s="7">
        <f t="shared" si="71"/>
        <v>3042.6299999999997</v>
      </c>
    </row>
    <row r="107" spans="1:12">
      <c r="A107" t="s">
        <v>86</v>
      </c>
      <c r="B107">
        <f t="shared" si="69"/>
        <v>1</v>
      </c>
      <c r="C107">
        <f>300-SUM(C97:C106)</f>
        <v>5</v>
      </c>
      <c r="D107">
        <f t="shared" si="67"/>
        <v>5.29</v>
      </c>
      <c r="E107">
        <f t="shared" ref="E107" si="80">+SUMIF($B$3:$B$14,$B107,D$3:D$14)</f>
        <v>5.27</v>
      </c>
      <c r="F107" s="1">
        <f>+($G$12*(30-$C$22)+$G$13*$C$22)/30</f>
        <v>9.5000000000000015E-3</v>
      </c>
      <c r="G107">
        <f>+F107*Melkepriskalender!$I$6</f>
        <v>85.500000000000014</v>
      </c>
      <c r="H107" s="7">
        <f t="shared" si="68"/>
        <v>452.29500000000007</v>
      </c>
      <c r="I107" s="7">
        <f t="shared" si="71"/>
        <v>450.58500000000004</v>
      </c>
    </row>
    <row r="108" spans="1:12">
      <c r="J108" s="70" t="s">
        <v>70</v>
      </c>
      <c r="K108" s="70"/>
      <c r="L108" s="60"/>
    </row>
    <row r="109" spans="1:12">
      <c r="A109" t="s">
        <v>71</v>
      </c>
      <c r="J109" s="60" t="s">
        <v>1</v>
      </c>
      <c r="K109" s="60" t="s">
        <v>49</v>
      </c>
      <c r="L109" s="60"/>
    </row>
    <row r="110" spans="1:12">
      <c r="A110" s="3">
        <f>+DATE(2019,C110,$B$20)</f>
        <v>43561</v>
      </c>
      <c r="B110">
        <f>+DAY(A110)</f>
        <v>6</v>
      </c>
      <c r="C110">
        <f>+IF(C95&gt;11,1,C95+1)</f>
        <v>4</v>
      </c>
      <c r="D110" s="71" t="s">
        <v>50</v>
      </c>
      <c r="E110" s="71"/>
      <c r="H110" s="70" t="s">
        <v>72</v>
      </c>
      <c r="I110" s="70"/>
      <c r="J110" s="6">
        <f>+SUM(H112:H122)</f>
        <v>56612.04</v>
      </c>
      <c r="K110" s="6">
        <f>+SUM(I112:I122)</f>
        <v>55555.140000000014</v>
      </c>
    </row>
    <row r="111" spans="1:12">
      <c r="C111" t="s">
        <v>73</v>
      </c>
      <c r="D111" s="59" t="s">
        <v>1</v>
      </c>
      <c r="E111" s="59" t="s">
        <v>49</v>
      </c>
      <c r="F111" t="s">
        <v>74</v>
      </c>
      <c r="G111" t="s">
        <v>75</v>
      </c>
      <c r="H111" s="60" t="s">
        <v>1</v>
      </c>
      <c r="I111" s="60" t="s">
        <v>49</v>
      </c>
    </row>
    <row r="112" spans="1:12">
      <c r="A112" t="s">
        <v>76</v>
      </c>
      <c r="B112">
        <f>+C110</f>
        <v>4</v>
      </c>
      <c r="C112">
        <f>30-B110+1</f>
        <v>25</v>
      </c>
      <c r="D112">
        <f t="shared" ref="D112:D122" si="81">+SUMIF($B$3:$B$14,B112,C$3:C$14)</f>
        <v>5.29</v>
      </c>
      <c r="E112">
        <f>+SUMIF($B$3:$B$14,$B112,D$3:D$14)</f>
        <v>5.27</v>
      </c>
      <c r="F112" s="1">
        <f>+$G$3*$C112/30</f>
        <v>0.10250000000000001</v>
      </c>
      <c r="G112">
        <f>+F112*Melkepriskalender!$I$6</f>
        <v>922.50000000000011</v>
      </c>
      <c r="H112" s="7">
        <f t="shared" ref="H112:H122" si="82">+G112*D112</f>
        <v>4880.0250000000005</v>
      </c>
      <c r="I112" s="7">
        <f>+$G112*E112</f>
        <v>4861.5749999999998</v>
      </c>
    </row>
    <row r="113" spans="1:12">
      <c r="A113" t="s">
        <v>77</v>
      </c>
      <c r="B113">
        <f t="shared" ref="B113:B122" si="83">IF(B112+1&gt;12,1,B112+1)</f>
        <v>5</v>
      </c>
      <c r="C113">
        <v>30</v>
      </c>
      <c r="D113">
        <f t="shared" si="81"/>
        <v>5.37</v>
      </c>
      <c r="E113">
        <f t="shared" ref="E113" si="84">+SUMIF($B$3:$B$14,$B113,D$3:D$14)</f>
        <v>5.37</v>
      </c>
      <c r="F113" s="1">
        <f>+($G$3*(30-$C$22)+$G$4*$C$22)/30</f>
        <v>0.13716666666666669</v>
      </c>
      <c r="G113">
        <f>+F113*Melkepriskalender!$I$6</f>
        <v>1234.5000000000002</v>
      </c>
      <c r="H113" s="7">
        <f t="shared" si="82"/>
        <v>6629.2650000000012</v>
      </c>
      <c r="I113" s="7">
        <f t="shared" ref="I113:I122" si="85">+$G113*E113</f>
        <v>6629.2650000000012</v>
      </c>
    </row>
    <row r="114" spans="1:12">
      <c r="A114" t="s">
        <v>78</v>
      </c>
      <c r="B114">
        <f t="shared" si="83"/>
        <v>6</v>
      </c>
      <c r="C114">
        <v>30</v>
      </c>
      <c r="D114">
        <f t="shared" si="81"/>
        <v>6.77</v>
      </c>
      <c r="E114">
        <f t="shared" ref="E114" si="86">+SUMIF($B$3:$B$14,$B114,D$3:D$14)</f>
        <v>6.47</v>
      </c>
      <c r="F114" s="1">
        <f>+($G$4*(30-$C$22)+$G$5*$C$22)/30</f>
        <v>0.13666666666666669</v>
      </c>
      <c r="G114">
        <f>+F114*Melkepriskalender!$I$6</f>
        <v>1230.0000000000002</v>
      </c>
      <c r="H114" s="7">
        <f t="shared" si="82"/>
        <v>8327.1</v>
      </c>
      <c r="I114" s="7">
        <f t="shared" si="85"/>
        <v>7958.1000000000013</v>
      </c>
    </row>
    <row r="115" spans="1:12">
      <c r="A115" t="s">
        <v>79</v>
      </c>
      <c r="B115">
        <f t="shared" si="83"/>
        <v>7</v>
      </c>
      <c r="C115">
        <v>30</v>
      </c>
      <c r="D115">
        <f t="shared" si="81"/>
        <v>7.2799999999999994</v>
      </c>
      <c r="E115">
        <f t="shared" ref="E115" si="87">+SUMIF($B$3:$B$14,$B115,D$3:D$14)</f>
        <v>6.93</v>
      </c>
      <c r="F115" s="1">
        <f>+($G$5*(30-$C$22)+$G$6*$C$22)/30</f>
        <v>0.11600000000000002</v>
      </c>
      <c r="G115">
        <f>+F115*Melkepriskalender!$I$6</f>
        <v>1044.0000000000002</v>
      </c>
      <c r="H115" s="7">
        <f t="shared" si="82"/>
        <v>7600.3200000000006</v>
      </c>
      <c r="I115" s="7">
        <f t="shared" si="85"/>
        <v>7234.920000000001</v>
      </c>
    </row>
    <row r="116" spans="1:12">
      <c r="A116" t="s">
        <v>80</v>
      </c>
      <c r="B116">
        <f t="shared" si="83"/>
        <v>8</v>
      </c>
      <c r="C116">
        <v>30</v>
      </c>
      <c r="D116">
        <f t="shared" si="81"/>
        <v>7.42</v>
      </c>
      <c r="E116">
        <f t="shared" ref="E116" si="88">+SUMIF($B$3:$B$14,$B116,D$3:D$14)</f>
        <v>7.2299999999999995</v>
      </c>
      <c r="F116" s="1">
        <f>+($G$6*(30-$C$22)+$G$7*$C$22)/30</f>
        <v>0.10616666666666667</v>
      </c>
      <c r="G116">
        <f>+F116*Melkepriskalender!$I$6</f>
        <v>955.50000000000011</v>
      </c>
      <c r="H116" s="7">
        <f t="shared" si="82"/>
        <v>7089.81</v>
      </c>
      <c r="I116" s="7">
        <f t="shared" si="85"/>
        <v>6908.2650000000003</v>
      </c>
    </row>
    <row r="117" spans="1:12">
      <c r="A117" t="s">
        <v>81</v>
      </c>
      <c r="B117">
        <f t="shared" si="83"/>
        <v>9</v>
      </c>
      <c r="C117">
        <v>30</v>
      </c>
      <c r="D117">
        <f t="shared" si="81"/>
        <v>7.42</v>
      </c>
      <c r="E117">
        <f t="shared" ref="E117" si="89">+SUMIF($B$3:$B$14,$B117,D$3:D$14)</f>
        <v>7.2299999999999995</v>
      </c>
      <c r="F117" s="1">
        <f>+($G$7*(30-$C$22)+$G$8*$C$22)/30</f>
        <v>9.6666666666666665E-2</v>
      </c>
      <c r="G117">
        <f>+F117*Melkepriskalender!$I$6</f>
        <v>870</v>
      </c>
      <c r="H117" s="7">
        <f t="shared" si="82"/>
        <v>6455.4</v>
      </c>
      <c r="I117" s="7">
        <f t="shared" si="85"/>
        <v>6290.0999999999995</v>
      </c>
    </row>
    <row r="118" spans="1:12">
      <c r="A118" t="s">
        <v>82</v>
      </c>
      <c r="B118">
        <f t="shared" si="83"/>
        <v>10</v>
      </c>
      <c r="C118">
        <v>30</v>
      </c>
      <c r="D118">
        <f t="shared" si="81"/>
        <v>5.96</v>
      </c>
      <c r="E118">
        <f t="shared" ref="E118" si="90">+SUMIF($B$3:$B$14,$B118,D$3:D$14)</f>
        <v>6.0299999999999994</v>
      </c>
      <c r="F118" s="1">
        <f>+($G$8*(30-$C$22)+$G$9*$C$22)/30</f>
        <v>8.7499999999999994E-2</v>
      </c>
      <c r="G118">
        <f>+F118*Melkepriskalender!$I$6</f>
        <v>787.5</v>
      </c>
      <c r="H118" s="7">
        <f t="shared" si="82"/>
        <v>4693.5</v>
      </c>
      <c r="I118" s="7">
        <f t="shared" si="85"/>
        <v>4748.6249999999991</v>
      </c>
    </row>
    <row r="119" spans="1:12">
      <c r="A119" t="s">
        <v>83</v>
      </c>
      <c r="B119">
        <f t="shared" si="83"/>
        <v>11</v>
      </c>
      <c r="C119">
        <v>30</v>
      </c>
      <c r="D119">
        <f t="shared" si="81"/>
        <v>5.7299999999999995</v>
      </c>
      <c r="E119">
        <f t="shared" ref="E119" si="91">+SUMIF($B$3:$B$14,$B119,D$3:D$14)</f>
        <v>5.7299999999999995</v>
      </c>
      <c r="F119" s="1">
        <f>+($G$9*(30-$C$22)+$G$10*$C$22)/30</f>
        <v>7.85E-2</v>
      </c>
      <c r="G119">
        <f>+F119*Melkepriskalender!$I$6</f>
        <v>706.5</v>
      </c>
      <c r="H119" s="7">
        <f t="shared" si="82"/>
        <v>4048.2449999999999</v>
      </c>
      <c r="I119" s="7">
        <f t="shared" si="85"/>
        <v>4048.2449999999999</v>
      </c>
    </row>
    <row r="120" spans="1:12">
      <c r="A120" t="s">
        <v>84</v>
      </c>
      <c r="B120">
        <f t="shared" si="83"/>
        <v>12</v>
      </c>
      <c r="C120">
        <v>30</v>
      </c>
      <c r="D120">
        <f t="shared" si="81"/>
        <v>5.7299999999999995</v>
      </c>
      <c r="E120">
        <f t="shared" ref="E120" si="92">+SUMIF($B$3:$B$14,$B120,D$3:D$14)</f>
        <v>5.7299999999999995</v>
      </c>
      <c r="F120" s="1">
        <f>+($G$10*(30-$C$22)+$G$11*$C$22)/30</f>
        <v>7.0333333333333345E-2</v>
      </c>
      <c r="G120">
        <f>+F120*Melkepriskalender!$I$6</f>
        <v>633.00000000000011</v>
      </c>
      <c r="H120" s="7">
        <f t="shared" si="82"/>
        <v>3627.09</v>
      </c>
      <c r="I120" s="7">
        <f t="shared" si="85"/>
        <v>3627.09</v>
      </c>
    </row>
    <row r="121" spans="1:12">
      <c r="A121" t="s">
        <v>85</v>
      </c>
      <c r="B121">
        <f t="shared" si="83"/>
        <v>1</v>
      </c>
      <c r="C121">
        <v>30</v>
      </c>
      <c r="D121">
        <f t="shared" si="81"/>
        <v>5.29</v>
      </c>
      <c r="E121">
        <f t="shared" ref="E121" si="93">+SUMIF($B$3:$B$14,$B121,D$3:D$14)</f>
        <v>5.27</v>
      </c>
      <c r="F121" s="1">
        <f>+($G$11*(30-$C$22)+$G$12*$C$22)/30</f>
        <v>5.9000000000000004E-2</v>
      </c>
      <c r="G121">
        <f>+F121*Melkepriskalender!$I$6</f>
        <v>531</v>
      </c>
      <c r="H121" s="7">
        <f t="shared" si="82"/>
        <v>2808.9900000000002</v>
      </c>
      <c r="I121" s="7">
        <f t="shared" si="85"/>
        <v>2798.37</v>
      </c>
    </row>
    <row r="122" spans="1:12">
      <c r="A122" t="s">
        <v>86</v>
      </c>
      <c r="B122">
        <f t="shared" si="83"/>
        <v>2</v>
      </c>
      <c r="C122">
        <f>300-SUM(C112:C121)</f>
        <v>5</v>
      </c>
      <c r="D122">
        <f t="shared" si="81"/>
        <v>5.29</v>
      </c>
      <c r="E122">
        <f t="shared" ref="E122" si="94">+SUMIF($B$3:$B$14,$B122,D$3:D$14)</f>
        <v>5.27</v>
      </c>
      <c r="F122" s="1">
        <f>+($G$12*(30-$C$22)+$G$13*$C$22)/30</f>
        <v>9.5000000000000015E-3</v>
      </c>
      <c r="G122">
        <f>+F122*Melkepriskalender!$I$6</f>
        <v>85.500000000000014</v>
      </c>
      <c r="H122" s="7">
        <f t="shared" si="82"/>
        <v>452.29500000000007</v>
      </c>
      <c r="I122" s="7">
        <f t="shared" si="85"/>
        <v>450.58500000000004</v>
      </c>
    </row>
    <row r="123" spans="1:12">
      <c r="J123" s="70" t="s">
        <v>70</v>
      </c>
      <c r="K123" s="70"/>
      <c r="L123" s="60"/>
    </row>
    <row r="124" spans="1:12">
      <c r="A124" t="s">
        <v>71</v>
      </c>
      <c r="J124" s="60" t="s">
        <v>1</v>
      </c>
      <c r="K124" s="60" t="s">
        <v>49</v>
      </c>
      <c r="L124" s="60"/>
    </row>
    <row r="125" spans="1:12">
      <c r="A125" s="3">
        <f>+DATE(2019,C125,$B$20)</f>
        <v>43591</v>
      </c>
      <c r="B125">
        <f>+DAY(A125)</f>
        <v>6</v>
      </c>
      <c r="C125">
        <f>+IF(C110&gt;11,1,C110+1)</f>
        <v>5</v>
      </c>
      <c r="D125" s="71" t="s">
        <v>50</v>
      </c>
      <c r="E125" s="71"/>
      <c r="H125" s="70" t="s">
        <v>72</v>
      </c>
      <c r="I125" s="70"/>
      <c r="J125" s="6">
        <f>+SUM(H127:H137)</f>
        <v>57457.754999999997</v>
      </c>
      <c r="K125" s="6">
        <f>+SUM(I127:I137)</f>
        <v>56312.910000000011</v>
      </c>
    </row>
    <row r="126" spans="1:12">
      <c r="C126" t="s">
        <v>73</v>
      </c>
      <c r="D126" s="59" t="s">
        <v>1</v>
      </c>
      <c r="E126" s="59" t="s">
        <v>49</v>
      </c>
      <c r="F126" t="s">
        <v>74</v>
      </c>
      <c r="G126" t="s">
        <v>75</v>
      </c>
      <c r="H126" s="60" t="s">
        <v>1</v>
      </c>
      <c r="I126" s="60" t="s">
        <v>49</v>
      </c>
    </row>
    <row r="127" spans="1:12">
      <c r="A127" t="s">
        <v>76</v>
      </c>
      <c r="B127">
        <f>+C125</f>
        <v>5</v>
      </c>
      <c r="C127">
        <f>30-B125+1</f>
        <v>25</v>
      </c>
      <c r="D127">
        <f t="shared" ref="D127:D137" si="95">+SUMIF($B$3:$B$14,B127,C$3:C$14)</f>
        <v>5.37</v>
      </c>
      <c r="E127">
        <f>+SUMIF($B$3:$B$14,$B127,D$3:D$14)</f>
        <v>5.37</v>
      </c>
      <c r="F127" s="1">
        <f>+$G$3*$C127/30</f>
        <v>0.10250000000000001</v>
      </c>
      <c r="G127">
        <f>+F127*Melkepriskalender!$I$6</f>
        <v>922.50000000000011</v>
      </c>
      <c r="H127" s="7">
        <f t="shared" ref="H127:H137" si="96">+G127*D127</f>
        <v>4953.8250000000007</v>
      </c>
      <c r="I127" s="7">
        <f>+$G127*E127</f>
        <v>4953.8250000000007</v>
      </c>
    </row>
    <row r="128" spans="1:12">
      <c r="A128" t="s">
        <v>77</v>
      </c>
      <c r="B128">
        <f t="shared" ref="B128:B137" si="97">IF(B127+1&gt;12,1,B127+1)</f>
        <v>6</v>
      </c>
      <c r="C128">
        <v>30</v>
      </c>
      <c r="D128">
        <f t="shared" si="95"/>
        <v>6.77</v>
      </c>
      <c r="E128">
        <f t="shared" ref="E128" si="98">+SUMIF($B$3:$B$14,$B128,D$3:D$14)</f>
        <v>6.47</v>
      </c>
      <c r="F128" s="1">
        <f>+($G$3*(30-$C$22)+$G$4*$C$22)/30</f>
        <v>0.13716666666666669</v>
      </c>
      <c r="G128">
        <f>+F128*Melkepriskalender!$I$6</f>
        <v>1234.5000000000002</v>
      </c>
      <c r="H128" s="7">
        <f t="shared" si="96"/>
        <v>8357.5650000000005</v>
      </c>
      <c r="I128" s="7">
        <f t="shared" ref="I128:I137" si="99">+$G128*E128</f>
        <v>7987.2150000000011</v>
      </c>
    </row>
    <row r="129" spans="1:12">
      <c r="A129" t="s">
        <v>78</v>
      </c>
      <c r="B129">
        <f t="shared" si="97"/>
        <v>7</v>
      </c>
      <c r="C129">
        <v>30</v>
      </c>
      <c r="D129">
        <f t="shared" si="95"/>
        <v>7.2799999999999994</v>
      </c>
      <c r="E129">
        <f t="shared" ref="E129" si="100">+SUMIF($B$3:$B$14,$B129,D$3:D$14)</f>
        <v>6.93</v>
      </c>
      <c r="F129" s="1">
        <f>+($G$4*(30-$C$22)+$G$5*$C$22)/30</f>
        <v>0.13666666666666669</v>
      </c>
      <c r="G129">
        <f>+F129*Melkepriskalender!$I$6</f>
        <v>1230.0000000000002</v>
      </c>
      <c r="H129" s="7">
        <f t="shared" si="96"/>
        <v>8954.4000000000015</v>
      </c>
      <c r="I129" s="7">
        <f t="shared" si="99"/>
        <v>8523.9000000000015</v>
      </c>
    </row>
    <row r="130" spans="1:12">
      <c r="A130" t="s">
        <v>79</v>
      </c>
      <c r="B130">
        <f t="shared" si="97"/>
        <v>8</v>
      </c>
      <c r="C130">
        <v>30</v>
      </c>
      <c r="D130">
        <f t="shared" si="95"/>
        <v>7.42</v>
      </c>
      <c r="E130">
        <f t="shared" ref="E130" si="101">+SUMIF($B$3:$B$14,$B130,D$3:D$14)</f>
        <v>7.2299999999999995</v>
      </c>
      <c r="F130" s="1">
        <f>+($G$5*(30-$C$22)+$G$6*$C$22)/30</f>
        <v>0.11600000000000002</v>
      </c>
      <c r="G130">
        <f>+F130*Melkepriskalender!$I$6</f>
        <v>1044.0000000000002</v>
      </c>
      <c r="H130" s="7">
        <f t="shared" si="96"/>
        <v>7746.4800000000014</v>
      </c>
      <c r="I130" s="7">
        <f t="shared" si="99"/>
        <v>7548.1200000000008</v>
      </c>
    </row>
    <row r="131" spans="1:12">
      <c r="A131" t="s">
        <v>80</v>
      </c>
      <c r="B131">
        <f t="shared" si="97"/>
        <v>9</v>
      </c>
      <c r="C131">
        <v>30</v>
      </c>
      <c r="D131">
        <f t="shared" si="95"/>
        <v>7.42</v>
      </c>
      <c r="E131">
        <f t="shared" ref="E131" si="102">+SUMIF($B$3:$B$14,$B131,D$3:D$14)</f>
        <v>7.2299999999999995</v>
      </c>
      <c r="F131" s="1">
        <f>+($G$6*(30-$C$22)+$G$7*$C$22)/30</f>
        <v>0.10616666666666667</v>
      </c>
      <c r="G131">
        <f>+F131*Melkepriskalender!$I$6</f>
        <v>955.50000000000011</v>
      </c>
      <c r="H131" s="7">
        <f t="shared" si="96"/>
        <v>7089.81</v>
      </c>
      <c r="I131" s="7">
        <f t="shared" si="99"/>
        <v>6908.2650000000003</v>
      </c>
    </row>
    <row r="132" spans="1:12">
      <c r="A132" t="s">
        <v>81</v>
      </c>
      <c r="B132">
        <f t="shared" si="97"/>
        <v>10</v>
      </c>
      <c r="C132">
        <v>30</v>
      </c>
      <c r="D132">
        <f t="shared" si="95"/>
        <v>5.96</v>
      </c>
      <c r="E132">
        <f t="shared" ref="E132" si="103">+SUMIF($B$3:$B$14,$B132,D$3:D$14)</f>
        <v>6.0299999999999994</v>
      </c>
      <c r="F132" s="1">
        <f>+($G$7*(30-$C$22)+$G$8*$C$22)/30</f>
        <v>9.6666666666666665E-2</v>
      </c>
      <c r="G132">
        <f>+F132*Melkepriskalender!$I$6</f>
        <v>870</v>
      </c>
      <c r="H132" s="7">
        <f t="shared" si="96"/>
        <v>5185.2</v>
      </c>
      <c r="I132" s="7">
        <f t="shared" si="99"/>
        <v>5246.0999999999995</v>
      </c>
    </row>
    <row r="133" spans="1:12">
      <c r="A133" t="s">
        <v>82</v>
      </c>
      <c r="B133">
        <f t="shared" si="97"/>
        <v>11</v>
      </c>
      <c r="C133">
        <v>30</v>
      </c>
      <c r="D133">
        <f t="shared" si="95"/>
        <v>5.7299999999999995</v>
      </c>
      <c r="E133">
        <f t="shared" ref="E133" si="104">+SUMIF($B$3:$B$14,$B133,D$3:D$14)</f>
        <v>5.7299999999999995</v>
      </c>
      <c r="F133" s="1">
        <f>+($G$8*(30-$C$22)+$G$9*$C$22)/30</f>
        <v>8.7499999999999994E-2</v>
      </c>
      <c r="G133">
        <f>+F133*Melkepriskalender!$I$6</f>
        <v>787.5</v>
      </c>
      <c r="H133" s="7">
        <f t="shared" si="96"/>
        <v>4512.375</v>
      </c>
      <c r="I133" s="7">
        <f t="shared" si="99"/>
        <v>4512.375</v>
      </c>
    </row>
    <row r="134" spans="1:12">
      <c r="A134" t="s">
        <v>83</v>
      </c>
      <c r="B134">
        <f t="shared" si="97"/>
        <v>12</v>
      </c>
      <c r="C134">
        <v>30</v>
      </c>
      <c r="D134">
        <f t="shared" si="95"/>
        <v>5.7299999999999995</v>
      </c>
      <c r="E134">
        <f t="shared" ref="E134" si="105">+SUMIF($B$3:$B$14,$B134,D$3:D$14)</f>
        <v>5.7299999999999995</v>
      </c>
      <c r="F134" s="1">
        <f>+($G$9*(30-$C$22)+$G$10*$C$22)/30</f>
        <v>7.85E-2</v>
      </c>
      <c r="G134">
        <f>+F134*Melkepriskalender!$I$6</f>
        <v>706.5</v>
      </c>
      <c r="H134" s="7">
        <f t="shared" si="96"/>
        <v>4048.2449999999999</v>
      </c>
      <c r="I134" s="7">
        <f t="shared" si="99"/>
        <v>4048.2449999999999</v>
      </c>
    </row>
    <row r="135" spans="1:12">
      <c r="A135" t="s">
        <v>84</v>
      </c>
      <c r="B135">
        <f t="shared" si="97"/>
        <v>1</v>
      </c>
      <c r="C135">
        <v>30</v>
      </c>
      <c r="D135">
        <f t="shared" si="95"/>
        <v>5.29</v>
      </c>
      <c r="E135">
        <f t="shared" ref="E135" si="106">+SUMIF($B$3:$B$14,$B135,D$3:D$14)</f>
        <v>5.27</v>
      </c>
      <c r="F135" s="1">
        <f>+($G$10*(30-$C$22)+$G$11*$C$22)/30</f>
        <v>7.0333333333333345E-2</v>
      </c>
      <c r="G135">
        <f>+F135*Melkepriskalender!$I$6</f>
        <v>633.00000000000011</v>
      </c>
      <c r="H135" s="7">
        <f t="shared" si="96"/>
        <v>3348.5700000000006</v>
      </c>
      <c r="I135" s="7">
        <f t="shared" si="99"/>
        <v>3335.9100000000003</v>
      </c>
    </row>
    <row r="136" spans="1:12">
      <c r="A136" t="s">
        <v>85</v>
      </c>
      <c r="B136">
        <f t="shared" si="97"/>
        <v>2</v>
      </c>
      <c r="C136">
        <v>30</v>
      </c>
      <c r="D136">
        <f t="shared" si="95"/>
        <v>5.29</v>
      </c>
      <c r="E136">
        <f t="shared" ref="E136" si="107">+SUMIF($B$3:$B$14,$B136,D$3:D$14)</f>
        <v>5.27</v>
      </c>
      <c r="F136" s="1">
        <f>+($G$11*(30-$C$22)+$G$12*$C$22)/30</f>
        <v>5.9000000000000004E-2</v>
      </c>
      <c r="G136">
        <f>+F136*Melkepriskalender!$I$6</f>
        <v>531</v>
      </c>
      <c r="H136" s="7">
        <f t="shared" si="96"/>
        <v>2808.9900000000002</v>
      </c>
      <c r="I136" s="7">
        <f t="shared" si="99"/>
        <v>2798.37</v>
      </c>
    </row>
    <row r="137" spans="1:12">
      <c r="A137" t="s">
        <v>86</v>
      </c>
      <c r="B137">
        <f t="shared" si="97"/>
        <v>3</v>
      </c>
      <c r="C137">
        <f>300-SUM(C127:C136)</f>
        <v>5</v>
      </c>
      <c r="D137">
        <f t="shared" si="95"/>
        <v>5.29</v>
      </c>
      <c r="E137">
        <f t="shared" ref="E137" si="108">+SUMIF($B$3:$B$14,$B137,D$3:D$14)</f>
        <v>5.27</v>
      </c>
      <c r="F137" s="1">
        <f>+($G$12*(30-$C$22)+$G$13*$C$22)/30</f>
        <v>9.5000000000000015E-3</v>
      </c>
      <c r="G137">
        <f>+F137*Melkepriskalender!$I$6</f>
        <v>85.500000000000014</v>
      </c>
      <c r="H137" s="7">
        <f t="shared" si="96"/>
        <v>452.29500000000007</v>
      </c>
      <c r="I137" s="7">
        <f t="shared" si="99"/>
        <v>450.58500000000004</v>
      </c>
    </row>
    <row r="138" spans="1:12">
      <c r="J138" s="70" t="s">
        <v>70</v>
      </c>
      <c r="K138" s="70"/>
      <c r="L138" s="60"/>
    </row>
    <row r="139" spans="1:12">
      <c r="A139" t="s">
        <v>71</v>
      </c>
      <c r="J139" s="60" t="s">
        <v>1</v>
      </c>
      <c r="K139" s="60" t="s">
        <v>49</v>
      </c>
      <c r="L139" s="60"/>
    </row>
    <row r="140" spans="1:12">
      <c r="A140" s="3">
        <f>+DATE(2019,C140,$B$20)</f>
        <v>43622</v>
      </c>
      <c r="B140">
        <f>+DAY(A140)</f>
        <v>6</v>
      </c>
      <c r="C140">
        <f>+IF(C125&gt;11,1,C125+1)</f>
        <v>6</v>
      </c>
      <c r="D140" s="71" t="s">
        <v>50</v>
      </c>
      <c r="E140" s="71"/>
      <c r="H140" s="70" t="s">
        <v>72</v>
      </c>
      <c r="I140" s="70"/>
      <c r="J140" s="6">
        <f>+SUM(H142:H152)</f>
        <v>57645.060000000005</v>
      </c>
      <c r="K140" s="6">
        <f>+SUM(I142:I152)</f>
        <v>56531.94000000001</v>
      </c>
    </row>
    <row r="141" spans="1:12">
      <c r="C141" t="s">
        <v>73</v>
      </c>
      <c r="D141" s="59" t="s">
        <v>1</v>
      </c>
      <c r="E141" s="59" t="s">
        <v>49</v>
      </c>
      <c r="F141" t="s">
        <v>74</v>
      </c>
      <c r="G141" t="s">
        <v>75</v>
      </c>
      <c r="H141" s="60" t="s">
        <v>1</v>
      </c>
      <c r="I141" s="60" t="s">
        <v>49</v>
      </c>
    </row>
    <row r="142" spans="1:12">
      <c r="A142" t="s">
        <v>76</v>
      </c>
      <c r="B142">
        <f>+C140</f>
        <v>6</v>
      </c>
      <c r="C142">
        <f>30-B140+1</f>
        <v>25</v>
      </c>
      <c r="D142">
        <f t="shared" ref="D142:D152" si="109">+SUMIF($B$3:$B$14,B142,C$3:C$14)</f>
        <v>6.77</v>
      </c>
      <c r="E142">
        <f>+SUMIF($B$3:$B$14,$B142,D$3:D$14)</f>
        <v>6.47</v>
      </c>
      <c r="F142" s="1">
        <f>+$G$3*$C142/30</f>
        <v>0.10250000000000001</v>
      </c>
      <c r="G142">
        <f>+F142*Melkepriskalender!$I$6</f>
        <v>922.50000000000011</v>
      </c>
      <c r="H142" s="7">
        <f t="shared" ref="H142:H152" si="110">+G142*D142</f>
        <v>6245.3250000000007</v>
      </c>
      <c r="I142" s="7">
        <f>+$G142*E142</f>
        <v>5968.5750000000007</v>
      </c>
    </row>
    <row r="143" spans="1:12">
      <c r="A143" t="s">
        <v>77</v>
      </c>
      <c r="B143">
        <f t="shared" ref="B143:B152" si="111">IF(B142+1&gt;12,1,B142+1)</f>
        <v>7</v>
      </c>
      <c r="C143">
        <v>30</v>
      </c>
      <c r="D143">
        <f t="shared" si="109"/>
        <v>7.2799999999999994</v>
      </c>
      <c r="E143">
        <f t="shared" ref="E143" si="112">+SUMIF($B$3:$B$14,$B143,D$3:D$14)</f>
        <v>6.93</v>
      </c>
      <c r="F143" s="1">
        <f>+($G$3*(30-$C$22)+$G$4*$C$22)/30</f>
        <v>0.13716666666666669</v>
      </c>
      <c r="G143">
        <f>+F143*Melkepriskalender!$I$6</f>
        <v>1234.5000000000002</v>
      </c>
      <c r="H143" s="7">
        <f t="shared" si="110"/>
        <v>8987.1600000000017</v>
      </c>
      <c r="I143" s="7">
        <f t="shared" ref="I143:I152" si="113">+$G143*E143</f>
        <v>8555.0850000000009</v>
      </c>
    </row>
    <row r="144" spans="1:12">
      <c r="A144" t="s">
        <v>78</v>
      </c>
      <c r="B144">
        <f t="shared" si="111"/>
        <v>8</v>
      </c>
      <c r="C144">
        <v>30</v>
      </c>
      <c r="D144">
        <f t="shared" si="109"/>
        <v>7.42</v>
      </c>
      <c r="E144">
        <f t="shared" ref="E144" si="114">+SUMIF($B$3:$B$14,$B144,D$3:D$14)</f>
        <v>7.2299999999999995</v>
      </c>
      <c r="F144" s="1">
        <f>+($G$4*(30-$C$22)+$G$5*$C$22)/30</f>
        <v>0.13666666666666669</v>
      </c>
      <c r="G144">
        <f>+F144*Melkepriskalender!$I$6</f>
        <v>1230.0000000000002</v>
      </c>
      <c r="H144" s="7">
        <f t="shared" si="110"/>
        <v>9126.6000000000022</v>
      </c>
      <c r="I144" s="7">
        <f t="shared" si="113"/>
        <v>8892.9000000000015</v>
      </c>
    </row>
    <row r="145" spans="1:12">
      <c r="A145" t="s">
        <v>79</v>
      </c>
      <c r="B145">
        <f t="shared" si="111"/>
        <v>9</v>
      </c>
      <c r="C145">
        <v>30</v>
      </c>
      <c r="D145">
        <f t="shared" si="109"/>
        <v>7.42</v>
      </c>
      <c r="E145">
        <f t="shared" ref="E145" si="115">+SUMIF($B$3:$B$14,$B145,D$3:D$14)</f>
        <v>7.2299999999999995</v>
      </c>
      <c r="F145" s="1">
        <f>+($G$5*(30-$C$22)+$G$6*$C$22)/30</f>
        <v>0.11600000000000002</v>
      </c>
      <c r="G145">
        <f>+F145*Melkepriskalender!$I$6</f>
        <v>1044.0000000000002</v>
      </c>
      <c r="H145" s="7">
        <f t="shared" si="110"/>
        <v>7746.4800000000014</v>
      </c>
      <c r="I145" s="7">
        <f t="shared" si="113"/>
        <v>7548.1200000000008</v>
      </c>
    </row>
    <row r="146" spans="1:12">
      <c r="A146" t="s">
        <v>80</v>
      </c>
      <c r="B146">
        <f t="shared" si="111"/>
        <v>10</v>
      </c>
      <c r="C146">
        <v>30</v>
      </c>
      <c r="D146">
        <f t="shared" si="109"/>
        <v>5.96</v>
      </c>
      <c r="E146">
        <f t="shared" ref="E146" si="116">+SUMIF($B$3:$B$14,$B146,D$3:D$14)</f>
        <v>6.0299999999999994</v>
      </c>
      <c r="F146" s="1">
        <f>+($G$6*(30-$C$22)+$G$7*$C$22)/30</f>
        <v>0.10616666666666667</v>
      </c>
      <c r="G146">
        <f>+F146*Melkepriskalender!$I$6</f>
        <v>955.50000000000011</v>
      </c>
      <c r="H146" s="7">
        <f t="shared" si="110"/>
        <v>5694.7800000000007</v>
      </c>
      <c r="I146" s="7">
        <f t="shared" si="113"/>
        <v>5761.665</v>
      </c>
    </row>
    <row r="147" spans="1:12">
      <c r="A147" t="s">
        <v>81</v>
      </c>
      <c r="B147">
        <f t="shared" si="111"/>
        <v>11</v>
      </c>
      <c r="C147">
        <v>30</v>
      </c>
      <c r="D147">
        <f t="shared" si="109"/>
        <v>5.7299999999999995</v>
      </c>
      <c r="E147">
        <f t="shared" ref="E147" si="117">+SUMIF($B$3:$B$14,$B147,D$3:D$14)</f>
        <v>5.7299999999999995</v>
      </c>
      <c r="F147" s="1">
        <f>+($G$7*(30-$C$22)+$G$8*$C$22)/30</f>
        <v>9.6666666666666665E-2</v>
      </c>
      <c r="G147">
        <f>+F147*Melkepriskalender!$I$6</f>
        <v>870</v>
      </c>
      <c r="H147" s="7">
        <f t="shared" si="110"/>
        <v>4985.0999999999995</v>
      </c>
      <c r="I147" s="7">
        <f t="shared" si="113"/>
        <v>4985.0999999999995</v>
      </c>
    </row>
    <row r="148" spans="1:12">
      <c r="A148" t="s">
        <v>82</v>
      </c>
      <c r="B148">
        <f t="shared" si="111"/>
        <v>12</v>
      </c>
      <c r="C148">
        <v>30</v>
      </c>
      <c r="D148">
        <f t="shared" si="109"/>
        <v>5.7299999999999995</v>
      </c>
      <c r="E148">
        <f t="shared" ref="E148" si="118">+SUMIF($B$3:$B$14,$B148,D$3:D$14)</f>
        <v>5.7299999999999995</v>
      </c>
      <c r="F148" s="1">
        <f>+($G$8*(30-$C$22)+$G$9*$C$22)/30</f>
        <v>8.7499999999999994E-2</v>
      </c>
      <c r="G148">
        <f>+F148*Melkepriskalender!$I$6</f>
        <v>787.5</v>
      </c>
      <c r="H148" s="7">
        <f t="shared" si="110"/>
        <v>4512.375</v>
      </c>
      <c r="I148" s="7">
        <f t="shared" si="113"/>
        <v>4512.375</v>
      </c>
    </row>
    <row r="149" spans="1:12">
      <c r="A149" t="s">
        <v>83</v>
      </c>
      <c r="B149">
        <f t="shared" si="111"/>
        <v>1</v>
      </c>
      <c r="C149">
        <v>30</v>
      </c>
      <c r="D149">
        <f t="shared" si="109"/>
        <v>5.29</v>
      </c>
      <c r="E149">
        <f t="shared" ref="E149" si="119">+SUMIF($B$3:$B$14,$B149,D$3:D$14)</f>
        <v>5.27</v>
      </c>
      <c r="F149" s="1">
        <f>+($G$9*(30-$C$22)+$G$10*$C$22)/30</f>
        <v>7.85E-2</v>
      </c>
      <c r="G149">
        <f>+F149*Melkepriskalender!$I$6</f>
        <v>706.5</v>
      </c>
      <c r="H149" s="7">
        <f t="shared" si="110"/>
        <v>3737.3850000000002</v>
      </c>
      <c r="I149" s="7">
        <f t="shared" si="113"/>
        <v>3723.2549999999997</v>
      </c>
    </row>
    <row r="150" spans="1:12">
      <c r="A150" t="s">
        <v>84</v>
      </c>
      <c r="B150">
        <f t="shared" si="111"/>
        <v>2</v>
      </c>
      <c r="C150">
        <v>30</v>
      </c>
      <c r="D150">
        <f t="shared" si="109"/>
        <v>5.29</v>
      </c>
      <c r="E150">
        <f t="shared" ref="E150" si="120">+SUMIF($B$3:$B$14,$B150,D$3:D$14)</f>
        <v>5.27</v>
      </c>
      <c r="F150" s="1">
        <f>+($G$10*(30-$C$22)+$G$11*$C$22)/30</f>
        <v>7.0333333333333345E-2</v>
      </c>
      <c r="G150">
        <f>+F150*Melkepriskalender!$I$6</f>
        <v>633.00000000000011</v>
      </c>
      <c r="H150" s="7">
        <f t="shared" si="110"/>
        <v>3348.5700000000006</v>
      </c>
      <c r="I150" s="7">
        <f t="shared" si="113"/>
        <v>3335.9100000000003</v>
      </c>
    </row>
    <row r="151" spans="1:12">
      <c r="A151" t="s">
        <v>85</v>
      </c>
      <c r="B151">
        <f t="shared" si="111"/>
        <v>3</v>
      </c>
      <c r="C151">
        <v>30</v>
      </c>
      <c r="D151">
        <f t="shared" si="109"/>
        <v>5.29</v>
      </c>
      <c r="E151">
        <f t="shared" ref="E151" si="121">+SUMIF($B$3:$B$14,$B151,D$3:D$14)</f>
        <v>5.27</v>
      </c>
      <c r="F151" s="1">
        <f>+($G$11*(30-$C$22)+$G$12*$C$22)/30</f>
        <v>5.9000000000000004E-2</v>
      </c>
      <c r="G151">
        <f>+F151*Melkepriskalender!$I$6</f>
        <v>531</v>
      </c>
      <c r="H151" s="7">
        <f t="shared" si="110"/>
        <v>2808.9900000000002</v>
      </c>
      <c r="I151" s="7">
        <f t="shared" si="113"/>
        <v>2798.37</v>
      </c>
    </row>
    <row r="152" spans="1:12">
      <c r="A152" t="s">
        <v>86</v>
      </c>
      <c r="B152">
        <f t="shared" si="111"/>
        <v>4</v>
      </c>
      <c r="C152">
        <f>300-SUM(C142:C151)</f>
        <v>5</v>
      </c>
      <c r="D152">
        <f t="shared" si="109"/>
        <v>5.29</v>
      </c>
      <c r="E152">
        <f t="shared" ref="E152" si="122">+SUMIF($B$3:$B$14,$B152,D$3:D$14)</f>
        <v>5.27</v>
      </c>
      <c r="F152" s="1">
        <f>+($G$12*(30-$C$22)+$G$13*$C$22)/30</f>
        <v>9.5000000000000015E-3</v>
      </c>
      <c r="G152">
        <f>+F152*Melkepriskalender!$I$6</f>
        <v>85.500000000000014</v>
      </c>
      <c r="H152" s="7">
        <f t="shared" si="110"/>
        <v>452.29500000000007</v>
      </c>
      <c r="I152" s="7">
        <f t="shared" si="113"/>
        <v>450.58500000000004</v>
      </c>
    </row>
    <row r="153" spans="1:12">
      <c r="J153" s="70" t="s">
        <v>70</v>
      </c>
      <c r="K153" s="70"/>
      <c r="L153" s="60"/>
    </row>
    <row r="154" spans="1:12">
      <c r="A154" t="s">
        <v>71</v>
      </c>
      <c r="J154" s="60" t="s">
        <v>1</v>
      </c>
      <c r="K154" s="60" t="s">
        <v>49</v>
      </c>
      <c r="L154" s="60"/>
    </row>
    <row r="155" spans="1:12">
      <c r="A155" s="3">
        <f>+DATE(2019,C155,$B$20)</f>
        <v>43652</v>
      </c>
      <c r="B155">
        <f>+DAY(A155)</f>
        <v>6</v>
      </c>
      <c r="C155">
        <f>+IF(C140&gt;11,1,C140+1)</f>
        <v>7</v>
      </c>
      <c r="D155" s="71" t="s">
        <v>50</v>
      </c>
      <c r="E155" s="71"/>
      <c r="H155" s="70" t="s">
        <v>72</v>
      </c>
      <c r="I155" s="70"/>
      <c r="J155" s="6">
        <f>+SUM(H157:H167)</f>
        <v>56204.700000000004</v>
      </c>
      <c r="K155" s="6">
        <f>+SUM(I157:I167)</f>
        <v>55433.490000000005</v>
      </c>
    </row>
    <row r="156" spans="1:12">
      <c r="C156" t="s">
        <v>73</v>
      </c>
      <c r="D156" s="59" t="s">
        <v>1</v>
      </c>
      <c r="E156" s="59" t="s">
        <v>49</v>
      </c>
      <c r="F156" t="s">
        <v>74</v>
      </c>
      <c r="G156" t="s">
        <v>75</v>
      </c>
      <c r="H156" s="60" t="s">
        <v>1</v>
      </c>
      <c r="I156" s="60" t="s">
        <v>49</v>
      </c>
    </row>
    <row r="157" spans="1:12">
      <c r="A157" t="s">
        <v>76</v>
      </c>
      <c r="B157">
        <f>+C155</f>
        <v>7</v>
      </c>
      <c r="C157">
        <f>30-B155+1</f>
        <v>25</v>
      </c>
      <c r="D157">
        <f t="shared" ref="D157:D167" si="123">+SUMIF($B$3:$B$14,B157,C$3:C$14)</f>
        <v>7.2799999999999994</v>
      </c>
      <c r="E157">
        <f>+SUMIF($B$3:$B$14,$B157,D$3:D$14)</f>
        <v>6.93</v>
      </c>
      <c r="F157" s="1">
        <f>+$G$3*$C157/30</f>
        <v>0.10250000000000001</v>
      </c>
      <c r="G157">
        <f>+F157*Melkepriskalender!$I$6</f>
        <v>922.50000000000011</v>
      </c>
      <c r="H157" s="7">
        <f t="shared" ref="H157:H167" si="124">+G157*D157</f>
        <v>6715.8</v>
      </c>
      <c r="I157" s="7">
        <f>+$G157*E157</f>
        <v>6392.9250000000002</v>
      </c>
    </row>
    <row r="158" spans="1:12">
      <c r="A158" t="s">
        <v>77</v>
      </c>
      <c r="B158">
        <f t="shared" ref="B158:B167" si="125">IF(B157+1&gt;12,1,B157+1)</f>
        <v>8</v>
      </c>
      <c r="C158">
        <v>30</v>
      </c>
      <c r="D158">
        <f t="shared" si="123"/>
        <v>7.42</v>
      </c>
      <c r="E158">
        <f t="shared" ref="E158" si="126">+SUMIF($B$3:$B$14,$B158,D$3:D$14)</f>
        <v>7.2299999999999995</v>
      </c>
      <c r="F158" s="1">
        <f>+($G$3*(30-$C$22)+$G$4*$C$22)/30</f>
        <v>0.13716666666666669</v>
      </c>
      <c r="G158">
        <f>+F158*Melkepriskalender!$I$6</f>
        <v>1234.5000000000002</v>
      </c>
      <c r="H158" s="7">
        <f t="shared" si="124"/>
        <v>9159.9900000000016</v>
      </c>
      <c r="I158" s="7">
        <f t="shared" ref="I158:I167" si="127">+$G158*E158</f>
        <v>8925.4350000000013</v>
      </c>
    </row>
    <row r="159" spans="1:12">
      <c r="A159" t="s">
        <v>78</v>
      </c>
      <c r="B159">
        <f t="shared" si="125"/>
        <v>9</v>
      </c>
      <c r="C159">
        <v>30</v>
      </c>
      <c r="D159">
        <f t="shared" si="123"/>
        <v>7.42</v>
      </c>
      <c r="E159">
        <f t="shared" ref="E159" si="128">+SUMIF($B$3:$B$14,$B159,D$3:D$14)</f>
        <v>7.2299999999999995</v>
      </c>
      <c r="F159" s="1">
        <f>+($G$4*(30-$C$22)+$G$5*$C$22)/30</f>
        <v>0.13666666666666669</v>
      </c>
      <c r="G159">
        <f>+F159*Melkepriskalender!$I$6</f>
        <v>1230.0000000000002</v>
      </c>
      <c r="H159" s="7">
        <f t="shared" si="124"/>
        <v>9126.6000000000022</v>
      </c>
      <c r="I159" s="7">
        <f t="shared" si="127"/>
        <v>8892.9000000000015</v>
      </c>
    </row>
    <row r="160" spans="1:12">
      <c r="A160" t="s">
        <v>79</v>
      </c>
      <c r="B160">
        <f t="shared" si="125"/>
        <v>10</v>
      </c>
      <c r="C160">
        <v>30</v>
      </c>
      <c r="D160">
        <f t="shared" si="123"/>
        <v>5.96</v>
      </c>
      <c r="E160">
        <f t="shared" ref="E160" si="129">+SUMIF($B$3:$B$14,$B160,D$3:D$14)</f>
        <v>6.0299999999999994</v>
      </c>
      <c r="F160" s="1">
        <f>+($G$5*(30-$C$22)+$G$6*$C$22)/30</f>
        <v>0.11600000000000002</v>
      </c>
      <c r="G160">
        <f>+F160*Melkepriskalender!$I$6</f>
        <v>1044.0000000000002</v>
      </c>
      <c r="H160" s="7">
        <f t="shared" si="124"/>
        <v>6222.2400000000016</v>
      </c>
      <c r="I160" s="7">
        <f t="shared" si="127"/>
        <v>6295.3200000000006</v>
      </c>
    </row>
    <row r="161" spans="1:12">
      <c r="A161" t="s">
        <v>80</v>
      </c>
      <c r="B161">
        <f t="shared" si="125"/>
        <v>11</v>
      </c>
      <c r="C161">
        <v>30</v>
      </c>
      <c r="D161">
        <f t="shared" si="123"/>
        <v>5.7299999999999995</v>
      </c>
      <c r="E161">
        <f t="shared" ref="E161" si="130">+SUMIF($B$3:$B$14,$B161,D$3:D$14)</f>
        <v>5.7299999999999995</v>
      </c>
      <c r="F161" s="1">
        <f>+($G$6*(30-$C$22)+$G$7*$C$22)/30</f>
        <v>0.10616666666666667</v>
      </c>
      <c r="G161">
        <f>+F161*Melkepriskalender!$I$6</f>
        <v>955.50000000000011</v>
      </c>
      <c r="H161" s="7">
        <f t="shared" si="124"/>
        <v>5475.0150000000003</v>
      </c>
      <c r="I161" s="7">
        <f t="shared" si="127"/>
        <v>5475.0150000000003</v>
      </c>
    </row>
    <row r="162" spans="1:12">
      <c r="A162" t="s">
        <v>81</v>
      </c>
      <c r="B162">
        <f t="shared" si="125"/>
        <v>12</v>
      </c>
      <c r="C162">
        <v>30</v>
      </c>
      <c r="D162">
        <f t="shared" si="123"/>
        <v>5.7299999999999995</v>
      </c>
      <c r="E162">
        <f t="shared" ref="E162" si="131">+SUMIF($B$3:$B$14,$B162,D$3:D$14)</f>
        <v>5.7299999999999995</v>
      </c>
      <c r="F162" s="1">
        <f>+($G$7*(30-$C$22)+$G$8*$C$22)/30</f>
        <v>9.6666666666666665E-2</v>
      </c>
      <c r="G162">
        <f>+F162*Melkepriskalender!$I$6</f>
        <v>870</v>
      </c>
      <c r="H162" s="7">
        <f t="shared" si="124"/>
        <v>4985.0999999999995</v>
      </c>
      <c r="I162" s="7">
        <f t="shared" si="127"/>
        <v>4985.0999999999995</v>
      </c>
    </row>
    <row r="163" spans="1:12">
      <c r="A163" t="s">
        <v>82</v>
      </c>
      <c r="B163">
        <f t="shared" si="125"/>
        <v>1</v>
      </c>
      <c r="C163">
        <v>30</v>
      </c>
      <c r="D163">
        <f t="shared" si="123"/>
        <v>5.29</v>
      </c>
      <c r="E163">
        <f t="shared" ref="E163" si="132">+SUMIF($B$3:$B$14,$B163,D$3:D$14)</f>
        <v>5.27</v>
      </c>
      <c r="F163" s="1">
        <f>+($G$8*(30-$C$22)+$G$9*$C$22)/30</f>
        <v>8.7499999999999994E-2</v>
      </c>
      <c r="G163">
        <f>+F163*Melkepriskalender!$I$6</f>
        <v>787.5</v>
      </c>
      <c r="H163" s="7">
        <f t="shared" si="124"/>
        <v>4165.875</v>
      </c>
      <c r="I163" s="7">
        <f t="shared" si="127"/>
        <v>4150.125</v>
      </c>
    </row>
    <row r="164" spans="1:12">
      <c r="A164" t="s">
        <v>83</v>
      </c>
      <c r="B164">
        <f t="shared" si="125"/>
        <v>2</v>
      </c>
      <c r="C164">
        <v>30</v>
      </c>
      <c r="D164">
        <f t="shared" si="123"/>
        <v>5.29</v>
      </c>
      <c r="E164">
        <f t="shared" ref="E164" si="133">+SUMIF($B$3:$B$14,$B164,D$3:D$14)</f>
        <v>5.27</v>
      </c>
      <c r="F164" s="1">
        <f>+($G$9*(30-$C$22)+$G$10*$C$22)/30</f>
        <v>7.85E-2</v>
      </c>
      <c r="G164">
        <f>+F164*Melkepriskalender!$I$6</f>
        <v>706.5</v>
      </c>
      <c r="H164" s="7">
        <f t="shared" si="124"/>
        <v>3737.3850000000002</v>
      </c>
      <c r="I164" s="7">
        <f t="shared" si="127"/>
        <v>3723.2549999999997</v>
      </c>
    </row>
    <row r="165" spans="1:12">
      <c r="A165" t="s">
        <v>84</v>
      </c>
      <c r="B165">
        <f t="shared" si="125"/>
        <v>3</v>
      </c>
      <c r="C165">
        <v>30</v>
      </c>
      <c r="D165">
        <f t="shared" si="123"/>
        <v>5.29</v>
      </c>
      <c r="E165">
        <f t="shared" ref="E165" si="134">+SUMIF($B$3:$B$14,$B165,D$3:D$14)</f>
        <v>5.27</v>
      </c>
      <c r="F165" s="1">
        <f>+($G$10*(30-$C$22)+$G$11*$C$22)/30</f>
        <v>7.0333333333333345E-2</v>
      </c>
      <c r="G165">
        <f>+F165*Melkepriskalender!$I$6</f>
        <v>633.00000000000011</v>
      </c>
      <c r="H165" s="7">
        <f t="shared" si="124"/>
        <v>3348.5700000000006</v>
      </c>
      <c r="I165" s="7">
        <f t="shared" si="127"/>
        <v>3335.9100000000003</v>
      </c>
    </row>
    <row r="166" spans="1:12">
      <c r="A166" t="s">
        <v>85</v>
      </c>
      <c r="B166">
        <f t="shared" si="125"/>
        <v>4</v>
      </c>
      <c r="C166">
        <v>30</v>
      </c>
      <c r="D166">
        <f t="shared" si="123"/>
        <v>5.29</v>
      </c>
      <c r="E166">
        <f t="shared" ref="E166" si="135">+SUMIF($B$3:$B$14,$B166,D$3:D$14)</f>
        <v>5.27</v>
      </c>
      <c r="F166" s="1">
        <f>+($G$11*(30-$C$22)+$G$12*$C$22)/30</f>
        <v>5.9000000000000004E-2</v>
      </c>
      <c r="G166">
        <f>+F166*Melkepriskalender!$I$6</f>
        <v>531</v>
      </c>
      <c r="H166" s="7">
        <f t="shared" si="124"/>
        <v>2808.9900000000002</v>
      </c>
      <c r="I166" s="7">
        <f t="shared" si="127"/>
        <v>2798.37</v>
      </c>
    </row>
    <row r="167" spans="1:12">
      <c r="A167" t="s">
        <v>86</v>
      </c>
      <c r="B167">
        <f t="shared" si="125"/>
        <v>5</v>
      </c>
      <c r="C167">
        <f>300-SUM(C157:C166)</f>
        <v>5</v>
      </c>
      <c r="D167">
        <f t="shared" si="123"/>
        <v>5.37</v>
      </c>
      <c r="E167">
        <f t="shared" ref="E167" si="136">+SUMIF($B$3:$B$14,$B167,D$3:D$14)</f>
        <v>5.37</v>
      </c>
      <c r="F167" s="1">
        <f>+($G$12*(30-$C$22)+$G$13*$C$22)/30</f>
        <v>9.5000000000000015E-3</v>
      </c>
      <c r="G167">
        <f>+F167*Melkepriskalender!$I$6</f>
        <v>85.500000000000014</v>
      </c>
      <c r="H167" s="7">
        <f t="shared" si="124"/>
        <v>459.1350000000001</v>
      </c>
      <c r="I167" s="7">
        <f t="shared" si="127"/>
        <v>459.1350000000001</v>
      </c>
    </row>
    <row r="168" spans="1:12">
      <c r="J168" s="70" t="s">
        <v>70</v>
      </c>
      <c r="K168" s="70"/>
      <c r="L168" s="60"/>
    </row>
    <row r="169" spans="1:12">
      <c r="A169" t="s">
        <v>71</v>
      </c>
      <c r="J169" s="60" t="s">
        <v>1</v>
      </c>
      <c r="K169" s="60" t="s">
        <v>49</v>
      </c>
      <c r="L169" s="60"/>
    </row>
    <row r="170" spans="1:12">
      <c r="A170" s="3">
        <f>+DATE(2019,C170,$B$20)</f>
        <v>43683</v>
      </c>
      <c r="B170">
        <f>+DAY(A170)</f>
        <v>6</v>
      </c>
      <c r="C170">
        <f>+IF(C155&gt;11,1,C155+1)</f>
        <v>8</v>
      </c>
      <c r="D170" s="71" t="s">
        <v>50</v>
      </c>
      <c r="E170" s="71"/>
      <c r="H170" s="70" t="s">
        <v>72</v>
      </c>
      <c r="I170" s="70"/>
      <c r="J170" s="6">
        <f>+SUM(H172:H182)</f>
        <v>54077.310000000012</v>
      </c>
      <c r="K170" s="6">
        <f>+SUM(I172:I182)</f>
        <v>53667.990000000005</v>
      </c>
    </row>
    <row r="171" spans="1:12">
      <c r="C171" t="s">
        <v>73</v>
      </c>
      <c r="D171" s="59" t="s">
        <v>1</v>
      </c>
      <c r="E171" s="59" t="s">
        <v>49</v>
      </c>
      <c r="F171" t="s">
        <v>74</v>
      </c>
      <c r="G171" t="s">
        <v>75</v>
      </c>
      <c r="H171" s="60" t="s">
        <v>1</v>
      </c>
      <c r="I171" s="60" t="s">
        <v>49</v>
      </c>
    </row>
    <row r="172" spans="1:12">
      <c r="A172" t="s">
        <v>76</v>
      </c>
      <c r="B172">
        <f>+C170</f>
        <v>8</v>
      </c>
      <c r="C172">
        <f>30-B170+1</f>
        <v>25</v>
      </c>
      <c r="D172">
        <f t="shared" ref="D172:D182" si="137">+SUMIF($B$3:$B$14,B172,$C$3:$C$14)</f>
        <v>7.42</v>
      </c>
      <c r="E172">
        <f>+SUMIF($B$3:$B$14,$B172,D$3:D$14)</f>
        <v>7.2299999999999995</v>
      </c>
      <c r="F172" s="1">
        <f>+$G$3*$C172/30</f>
        <v>0.10250000000000001</v>
      </c>
      <c r="G172">
        <f>+F172*Melkepriskalender!$I$6</f>
        <v>922.50000000000011</v>
      </c>
      <c r="H172" s="7">
        <f t="shared" ref="H172:H182" si="138">+G172*D172</f>
        <v>6844.9500000000007</v>
      </c>
      <c r="I172" s="7">
        <f>+$G172*E172</f>
        <v>6669.6750000000002</v>
      </c>
    </row>
    <row r="173" spans="1:12">
      <c r="A173" t="s">
        <v>77</v>
      </c>
      <c r="B173">
        <f t="shared" ref="B173:B182" si="139">IF(B172+1&gt;12,1,B172+1)</f>
        <v>9</v>
      </c>
      <c r="C173">
        <v>30</v>
      </c>
      <c r="D173">
        <f t="shared" si="137"/>
        <v>7.42</v>
      </c>
      <c r="E173">
        <f t="shared" ref="E173" si="140">+SUMIF($B$3:$B$14,$B173,D$3:D$14)</f>
        <v>7.2299999999999995</v>
      </c>
      <c r="F173" s="1">
        <f>+($G$3*(30-$C$22)+$G$4*$C$22)/30</f>
        <v>0.13716666666666669</v>
      </c>
      <c r="G173">
        <f>+F173*Melkepriskalender!$I$6</f>
        <v>1234.5000000000002</v>
      </c>
      <c r="H173" s="7">
        <f t="shared" si="138"/>
        <v>9159.9900000000016</v>
      </c>
      <c r="I173" s="7">
        <f t="shared" ref="I173:I182" si="141">+$G173*E173</f>
        <v>8925.4350000000013</v>
      </c>
    </row>
    <row r="174" spans="1:12">
      <c r="A174" t="s">
        <v>78</v>
      </c>
      <c r="B174">
        <f t="shared" si="139"/>
        <v>10</v>
      </c>
      <c r="C174">
        <v>30</v>
      </c>
      <c r="D174">
        <f t="shared" si="137"/>
        <v>5.96</v>
      </c>
      <c r="E174">
        <f t="shared" ref="E174" si="142">+SUMIF($B$3:$B$14,$B174,D$3:D$14)</f>
        <v>6.0299999999999994</v>
      </c>
      <c r="F174" s="1">
        <f>+($G$4*(30-$C$22)+$G$5*$C$22)/30</f>
        <v>0.13666666666666669</v>
      </c>
      <c r="G174">
        <f>+F174*Melkepriskalender!$I$6</f>
        <v>1230.0000000000002</v>
      </c>
      <c r="H174" s="7">
        <f t="shared" si="138"/>
        <v>7330.8000000000011</v>
      </c>
      <c r="I174" s="7">
        <f t="shared" si="141"/>
        <v>7416.9000000000005</v>
      </c>
    </row>
    <row r="175" spans="1:12">
      <c r="A175" t="s">
        <v>79</v>
      </c>
      <c r="B175">
        <f t="shared" si="139"/>
        <v>11</v>
      </c>
      <c r="C175">
        <v>30</v>
      </c>
      <c r="D175">
        <f t="shared" si="137"/>
        <v>5.7299999999999995</v>
      </c>
      <c r="E175">
        <f t="shared" ref="E175" si="143">+SUMIF($B$3:$B$14,$B175,D$3:D$14)</f>
        <v>5.7299999999999995</v>
      </c>
      <c r="F175" s="1">
        <f>+($G$5*(30-$C$22)+$G$6*$C$22)/30</f>
        <v>0.11600000000000002</v>
      </c>
      <c r="G175">
        <f>+F175*Melkepriskalender!$I$6</f>
        <v>1044.0000000000002</v>
      </c>
      <c r="H175" s="7">
        <f t="shared" si="138"/>
        <v>5982.1200000000008</v>
      </c>
      <c r="I175" s="7">
        <f t="shared" si="141"/>
        <v>5982.1200000000008</v>
      </c>
    </row>
    <row r="176" spans="1:12">
      <c r="A176" t="s">
        <v>80</v>
      </c>
      <c r="B176">
        <f t="shared" si="139"/>
        <v>12</v>
      </c>
      <c r="C176">
        <v>30</v>
      </c>
      <c r="D176">
        <f t="shared" si="137"/>
        <v>5.7299999999999995</v>
      </c>
      <c r="E176">
        <f t="shared" ref="E176" si="144">+SUMIF($B$3:$B$14,$B176,D$3:D$14)</f>
        <v>5.7299999999999995</v>
      </c>
      <c r="F176" s="1">
        <f>+($G$6*(30-$C$22)+$G$7*$C$22)/30</f>
        <v>0.10616666666666667</v>
      </c>
      <c r="G176">
        <f>+F176*Melkepriskalender!$I$6</f>
        <v>955.50000000000011</v>
      </c>
      <c r="H176" s="7">
        <f t="shared" si="138"/>
        <v>5475.0150000000003</v>
      </c>
      <c r="I176" s="7">
        <f t="shared" si="141"/>
        <v>5475.0150000000003</v>
      </c>
    </row>
    <row r="177" spans="1:12">
      <c r="A177" t="s">
        <v>81</v>
      </c>
      <c r="B177">
        <f t="shared" si="139"/>
        <v>1</v>
      </c>
      <c r="C177">
        <v>30</v>
      </c>
      <c r="D177">
        <f t="shared" si="137"/>
        <v>5.29</v>
      </c>
      <c r="E177">
        <f t="shared" ref="E177" si="145">+SUMIF($B$3:$B$14,$B177,D$3:D$14)</f>
        <v>5.27</v>
      </c>
      <c r="F177" s="1">
        <f>+($G$7*(30-$C$22)+$G$8*$C$22)/30</f>
        <v>9.6666666666666665E-2</v>
      </c>
      <c r="G177">
        <f>+F177*Melkepriskalender!$I$6</f>
        <v>870</v>
      </c>
      <c r="H177" s="7">
        <f t="shared" si="138"/>
        <v>4602.3</v>
      </c>
      <c r="I177" s="7">
        <f t="shared" si="141"/>
        <v>4584.8999999999996</v>
      </c>
    </row>
    <row r="178" spans="1:12">
      <c r="A178" t="s">
        <v>82</v>
      </c>
      <c r="B178">
        <f t="shared" si="139"/>
        <v>2</v>
      </c>
      <c r="C178">
        <v>30</v>
      </c>
      <c r="D178">
        <f t="shared" si="137"/>
        <v>5.29</v>
      </c>
      <c r="E178">
        <f t="shared" ref="E178" si="146">+SUMIF($B$3:$B$14,$B178,D$3:D$14)</f>
        <v>5.27</v>
      </c>
      <c r="F178" s="1">
        <f>+($G$8*(30-$C$22)+$G$9*$C$22)/30</f>
        <v>8.7499999999999994E-2</v>
      </c>
      <c r="G178">
        <f>+F178*Melkepriskalender!$I$6</f>
        <v>787.5</v>
      </c>
      <c r="H178" s="7">
        <f t="shared" si="138"/>
        <v>4165.875</v>
      </c>
      <c r="I178" s="7">
        <f t="shared" si="141"/>
        <v>4150.125</v>
      </c>
    </row>
    <row r="179" spans="1:12">
      <c r="A179" t="s">
        <v>83</v>
      </c>
      <c r="B179">
        <f t="shared" si="139"/>
        <v>3</v>
      </c>
      <c r="C179">
        <v>30</v>
      </c>
      <c r="D179">
        <f t="shared" si="137"/>
        <v>5.29</v>
      </c>
      <c r="E179">
        <f t="shared" ref="E179" si="147">+SUMIF($B$3:$B$14,$B179,D$3:D$14)</f>
        <v>5.27</v>
      </c>
      <c r="F179" s="1">
        <f>+($G$9*(30-$C$22)+$G$10*$C$22)/30</f>
        <v>7.85E-2</v>
      </c>
      <c r="G179">
        <f>+F179*Melkepriskalender!$I$6</f>
        <v>706.5</v>
      </c>
      <c r="H179" s="7">
        <f t="shared" si="138"/>
        <v>3737.3850000000002</v>
      </c>
      <c r="I179" s="7">
        <f t="shared" si="141"/>
        <v>3723.2549999999997</v>
      </c>
    </row>
    <row r="180" spans="1:12">
      <c r="A180" t="s">
        <v>84</v>
      </c>
      <c r="B180">
        <f t="shared" si="139"/>
        <v>4</v>
      </c>
      <c r="C180">
        <v>30</v>
      </c>
      <c r="D180">
        <f t="shared" si="137"/>
        <v>5.29</v>
      </c>
      <c r="E180">
        <f t="shared" ref="E180" si="148">+SUMIF($B$3:$B$14,$B180,D$3:D$14)</f>
        <v>5.27</v>
      </c>
      <c r="F180" s="1">
        <f>+($G$10*(30-$C$22)+$G$11*$C$22)/30</f>
        <v>7.0333333333333345E-2</v>
      </c>
      <c r="G180">
        <f>+F180*Melkepriskalender!$I$6</f>
        <v>633.00000000000011</v>
      </c>
      <c r="H180" s="7">
        <f t="shared" si="138"/>
        <v>3348.5700000000006</v>
      </c>
      <c r="I180" s="7">
        <f t="shared" si="141"/>
        <v>3335.9100000000003</v>
      </c>
    </row>
    <row r="181" spans="1:12">
      <c r="A181" t="s">
        <v>85</v>
      </c>
      <c r="B181">
        <f t="shared" si="139"/>
        <v>5</v>
      </c>
      <c r="C181">
        <v>30</v>
      </c>
      <c r="D181">
        <f t="shared" si="137"/>
        <v>5.37</v>
      </c>
      <c r="E181">
        <f t="shared" ref="E181" si="149">+SUMIF($B$3:$B$14,$B181,D$3:D$14)</f>
        <v>5.37</v>
      </c>
      <c r="F181" s="1">
        <f>+($G$11*(30-$C$22)+$G$12*$C$22)/30</f>
        <v>5.9000000000000004E-2</v>
      </c>
      <c r="G181">
        <f>+F181*Melkepriskalender!$I$6</f>
        <v>531</v>
      </c>
      <c r="H181" s="7">
        <f t="shared" si="138"/>
        <v>2851.4700000000003</v>
      </c>
      <c r="I181" s="7">
        <f t="shared" si="141"/>
        <v>2851.4700000000003</v>
      </c>
    </row>
    <row r="182" spans="1:12">
      <c r="A182" t="s">
        <v>86</v>
      </c>
      <c r="B182">
        <f t="shared" si="139"/>
        <v>6</v>
      </c>
      <c r="C182">
        <f>300-SUM(C172:C181)</f>
        <v>5</v>
      </c>
      <c r="D182">
        <f t="shared" si="137"/>
        <v>6.77</v>
      </c>
      <c r="E182">
        <f t="shared" ref="E182" si="150">+SUMIF($B$3:$B$14,$B182,D$3:D$14)</f>
        <v>6.47</v>
      </c>
      <c r="F182" s="1">
        <f>+($G$12*(30-$C$22)+$G$13*$C$22)/30</f>
        <v>9.5000000000000015E-3</v>
      </c>
      <c r="G182">
        <f>+F182*Melkepriskalender!$I$6</f>
        <v>85.500000000000014</v>
      </c>
      <c r="H182" s="7">
        <f t="shared" si="138"/>
        <v>578.83500000000004</v>
      </c>
      <c r="I182" s="7">
        <f t="shared" si="141"/>
        <v>553.18500000000006</v>
      </c>
    </row>
    <row r="183" spans="1:12">
      <c r="J183" s="70" t="s">
        <v>70</v>
      </c>
      <c r="K183" s="70"/>
      <c r="L183" s="60"/>
    </row>
    <row r="184" spans="1:12">
      <c r="A184" t="s">
        <v>71</v>
      </c>
      <c r="J184" s="60" t="s">
        <v>1</v>
      </c>
      <c r="K184" s="60" t="s">
        <v>49</v>
      </c>
      <c r="L184" s="60"/>
    </row>
    <row r="185" spans="1:12">
      <c r="A185" s="3">
        <f>+DATE(2019,C185,$B$20)</f>
        <v>43714</v>
      </c>
      <c r="B185">
        <f>+DAY(A185)</f>
        <v>6</v>
      </c>
      <c r="C185">
        <f>+IF(C170&gt;11,1,C170+1)</f>
        <v>9</v>
      </c>
      <c r="D185" s="71" t="s">
        <v>50</v>
      </c>
      <c r="E185" s="71"/>
      <c r="H185" s="70" t="s">
        <v>72</v>
      </c>
      <c r="I185" s="70"/>
      <c r="J185" s="6">
        <f>+SUM(H187:H197)</f>
        <v>52409.265000000014</v>
      </c>
      <c r="K185" s="6">
        <f>+SUM(I187:I197)</f>
        <v>52064.79</v>
      </c>
    </row>
    <row r="186" spans="1:12">
      <c r="C186" t="s">
        <v>73</v>
      </c>
      <c r="D186" s="59" t="s">
        <v>1</v>
      </c>
      <c r="E186" s="59" t="s">
        <v>49</v>
      </c>
      <c r="F186" t="s">
        <v>74</v>
      </c>
      <c r="G186" t="s">
        <v>75</v>
      </c>
      <c r="H186" s="60" t="s">
        <v>1</v>
      </c>
      <c r="I186" s="60" t="s">
        <v>49</v>
      </c>
    </row>
    <row r="187" spans="1:12">
      <c r="A187" t="s">
        <v>76</v>
      </c>
      <c r="B187">
        <f>+C185</f>
        <v>9</v>
      </c>
      <c r="C187">
        <f>30-B185+1</f>
        <v>25</v>
      </c>
      <c r="D187">
        <f t="shared" ref="D187:D197" si="151">+SUMIF($B$3:$B$14,B187,$C$3:$C$14)</f>
        <v>7.42</v>
      </c>
      <c r="E187">
        <f>+SUMIF($B$3:$B$14,$B187,D$3:D$14)</f>
        <v>7.2299999999999995</v>
      </c>
      <c r="F187" s="1">
        <f>+$G$3*$C187/30</f>
        <v>0.10250000000000001</v>
      </c>
      <c r="G187">
        <f>+F187*Melkepriskalender!$I$6</f>
        <v>922.50000000000011</v>
      </c>
      <c r="H187" s="7">
        <f t="shared" ref="H187:H197" si="152">+G187*D187</f>
        <v>6844.9500000000007</v>
      </c>
      <c r="I187" s="7">
        <f>+$G187*E187</f>
        <v>6669.6750000000002</v>
      </c>
    </row>
    <row r="188" spans="1:12">
      <c r="A188" t="s">
        <v>77</v>
      </c>
      <c r="B188">
        <f t="shared" ref="B188:B197" si="153">IF(B187+1&gt;12,1,B187+1)</f>
        <v>10</v>
      </c>
      <c r="C188">
        <v>30</v>
      </c>
      <c r="D188">
        <f t="shared" si="151"/>
        <v>5.96</v>
      </c>
      <c r="E188">
        <f t="shared" ref="E188" si="154">+SUMIF($B$3:$B$14,$B188,D$3:D$14)</f>
        <v>6.0299999999999994</v>
      </c>
      <c r="F188" s="1">
        <f>+($G$3*(30-$C$22)+$G$4*$C$22)/30</f>
        <v>0.13716666666666669</v>
      </c>
      <c r="G188">
        <f>+F188*Melkepriskalender!$I$6</f>
        <v>1234.5000000000002</v>
      </c>
      <c r="H188" s="7">
        <f t="shared" si="152"/>
        <v>7357.6200000000017</v>
      </c>
      <c r="I188" s="7">
        <f t="shared" ref="I188:I197" si="155">+$G188*E188</f>
        <v>7444.0350000000008</v>
      </c>
    </row>
    <row r="189" spans="1:12">
      <c r="A189" t="s">
        <v>78</v>
      </c>
      <c r="B189">
        <f t="shared" si="153"/>
        <v>11</v>
      </c>
      <c r="C189">
        <v>30</v>
      </c>
      <c r="D189">
        <f t="shared" si="151"/>
        <v>5.7299999999999995</v>
      </c>
      <c r="E189">
        <f t="shared" ref="E189" si="156">+SUMIF($B$3:$B$14,$B189,D$3:D$14)</f>
        <v>5.7299999999999995</v>
      </c>
      <c r="F189" s="1">
        <f>+($G$4*(30-$C$22)+$G$5*$C$22)/30</f>
        <v>0.13666666666666669</v>
      </c>
      <c r="G189">
        <f>+F189*Melkepriskalender!$I$6</f>
        <v>1230.0000000000002</v>
      </c>
      <c r="H189" s="7">
        <f t="shared" si="152"/>
        <v>7047.9000000000005</v>
      </c>
      <c r="I189" s="7">
        <f t="shared" si="155"/>
        <v>7047.9000000000005</v>
      </c>
    </row>
    <row r="190" spans="1:12">
      <c r="A190" t="s">
        <v>79</v>
      </c>
      <c r="B190">
        <f t="shared" si="153"/>
        <v>12</v>
      </c>
      <c r="C190">
        <v>30</v>
      </c>
      <c r="D190">
        <f t="shared" si="151"/>
        <v>5.7299999999999995</v>
      </c>
      <c r="E190">
        <f t="shared" ref="E190" si="157">+SUMIF($B$3:$B$14,$B190,D$3:D$14)</f>
        <v>5.7299999999999995</v>
      </c>
      <c r="F190" s="1">
        <f>+($G$5*(30-$C$22)+$G$6*$C$22)/30</f>
        <v>0.11600000000000002</v>
      </c>
      <c r="G190">
        <f>+F190*Melkepriskalender!$I$6</f>
        <v>1044.0000000000002</v>
      </c>
      <c r="H190" s="7">
        <f t="shared" si="152"/>
        <v>5982.1200000000008</v>
      </c>
      <c r="I190" s="7">
        <f t="shared" si="155"/>
        <v>5982.1200000000008</v>
      </c>
    </row>
    <row r="191" spans="1:12">
      <c r="A191" t="s">
        <v>80</v>
      </c>
      <c r="B191">
        <f t="shared" si="153"/>
        <v>1</v>
      </c>
      <c r="C191">
        <v>30</v>
      </c>
      <c r="D191">
        <f t="shared" si="151"/>
        <v>5.29</v>
      </c>
      <c r="E191">
        <f t="shared" ref="E191" si="158">+SUMIF($B$3:$B$14,$B191,D$3:D$14)</f>
        <v>5.27</v>
      </c>
      <c r="F191" s="1">
        <f>+($G$6*(30-$C$22)+$G$7*$C$22)/30</f>
        <v>0.10616666666666667</v>
      </c>
      <c r="G191">
        <f>+F191*Melkepriskalender!$I$6</f>
        <v>955.50000000000011</v>
      </c>
      <c r="H191" s="7">
        <f t="shared" si="152"/>
        <v>5054.5950000000003</v>
      </c>
      <c r="I191" s="7">
        <f t="shared" si="155"/>
        <v>5035.4850000000006</v>
      </c>
    </row>
    <row r="192" spans="1:12">
      <c r="A192" t="s">
        <v>81</v>
      </c>
      <c r="B192">
        <f t="shared" si="153"/>
        <v>2</v>
      </c>
      <c r="C192">
        <v>30</v>
      </c>
      <c r="D192">
        <f t="shared" si="151"/>
        <v>5.29</v>
      </c>
      <c r="E192">
        <f t="shared" ref="E192" si="159">+SUMIF($B$3:$B$14,$B192,D$3:D$14)</f>
        <v>5.27</v>
      </c>
      <c r="F192" s="1">
        <f>+($G$7*(30-$C$22)+$G$8*$C$22)/30</f>
        <v>9.6666666666666665E-2</v>
      </c>
      <c r="G192">
        <f>+F192*Melkepriskalender!$I$6</f>
        <v>870</v>
      </c>
      <c r="H192" s="7">
        <f t="shared" si="152"/>
        <v>4602.3</v>
      </c>
      <c r="I192" s="7">
        <f t="shared" si="155"/>
        <v>4584.8999999999996</v>
      </c>
    </row>
    <row r="193" spans="1:9">
      <c r="A193" t="s">
        <v>82</v>
      </c>
      <c r="B193">
        <f t="shared" si="153"/>
        <v>3</v>
      </c>
      <c r="C193">
        <v>30</v>
      </c>
      <c r="D193">
        <f t="shared" si="151"/>
        <v>5.29</v>
      </c>
      <c r="E193">
        <f t="shared" ref="E193" si="160">+SUMIF($B$3:$B$14,$B193,D$3:D$14)</f>
        <v>5.27</v>
      </c>
      <c r="F193" s="1">
        <f>+($G$8*(30-$C$22)+$G$9*$C$22)/30</f>
        <v>8.7499999999999994E-2</v>
      </c>
      <c r="G193">
        <f>+F193*Melkepriskalender!$I$6</f>
        <v>787.5</v>
      </c>
      <c r="H193" s="7">
        <f t="shared" si="152"/>
        <v>4165.875</v>
      </c>
      <c r="I193" s="7">
        <f t="shared" si="155"/>
        <v>4150.125</v>
      </c>
    </row>
    <row r="194" spans="1:9">
      <c r="A194" t="s">
        <v>83</v>
      </c>
      <c r="B194">
        <f t="shared" si="153"/>
        <v>4</v>
      </c>
      <c r="C194">
        <v>30</v>
      </c>
      <c r="D194">
        <f t="shared" si="151"/>
        <v>5.29</v>
      </c>
      <c r="E194">
        <f t="shared" ref="E194" si="161">+SUMIF($B$3:$B$14,$B194,D$3:D$14)</f>
        <v>5.27</v>
      </c>
      <c r="F194" s="1">
        <f>+($G$9*(30-$C$22)+$G$10*$C$22)/30</f>
        <v>7.85E-2</v>
      </c>
      <c r="G194">
        <f>+F194*Melkepriskalender!$I$6</f>
        <v>706.5</v>
      </c>
      <c r="H194" s="7">
        <f t="shared" si="152"/>
        <v>3737.3850000000002</v>
      </c>
      <c r="I194" s="7">
        <f t="shared" si="155"/>
        <v>3723.2549999999997</v>
      </c>
    </row>
    <row r="195" spans="1:9">
      <c r="A195" t="s">
        <v>84</v>
      </c>
      <c r="B195">
        <f t="shared" si="153"/>
        <v>5</v>
      </c>
      <c r="C195">
        <v>30</v>
      </c>
      <c r="D195">
        <f t="shared" si="151"/>
        <v>5.37</v>
      </c>
      <c r="E195">
        <f t="shared" ref="E195" si="162">+SUMIF($B$3:$B$14,$B195,D$3:D$14)</f>
        <v>5.37</v>
      </c>
      <c r="F195" s="1">
        <f>+($G$10*(30-$C$22)+$G$11*$C$22)/30</f>
        <v>7.0333333333333345E-2</v>
      </c>
      <c r="G195">
        <f>+F195*Melkepriskalender!$I$6</f>
        <v>633.00000000000011</v>
      </c>
      <c r="H195" s="7">
        <f t="shared" si="152"/>
        <v>3399.2100000000005</v>
      </c>
      <c r="I195" s="7">
        <f t="shared" si="155"/>
        <v>3399.2100000000005</v>
      </c>
    </row>
    <row r="196" spans="1:9">
      <c r="A196" t="s">
        <v>85</v>
      </c>
      <c r="B196">
        <f t="shared" si="153"/>
        <v>6</v>
      </c>
      <c r="C196">
        <v>30</v>
      </c>
      <c r="D196">
        <f t="shared" si="151"/>
        <v>6.77</v>
      </c>
      <c r="E196">
        <f t="shared" ref="E196" si="163">+SUMIF($B$3:$B$14,$B196,D$3:D$14)</f>
        <v>6.47</v>
      </c>
      <c r="F196" s="1">
        <f>+($G$11*(30-$C$22)+$G$12*$C$22)/30</f>
        <v>5.9000000000000004E-2</v>
      </c>
      <c r="G196">
        <f>+F196*Melkepriskalender!$I$6</f>
        <v>531</v>
      </c>
      <c r="H196" s="7">
        <f t="shared" si="152"/>
        <v>3594.87</v>
      </c>
      <c r="I196" s="7">
        <f t="shared" si="155"/>
        <v>3435.5699999999997</v>
      </c>
    </row>
    <row r="197" spans="1:9">
      <c r="A197" t="s">
        <v>86</v>
      </c>
      <c r="B197">
        <f t="shared" si="153"/>
        <v>7</v>
      </c>
      <c r="C197">
        <f>300-SUM(C187:C196)</f>
        <v>5</v>
      </c>
      <c r="D197">
        <f t="shared" si="151"/>
        <v>7.2799999999999994</v>
      </c>
      <c r="E197">
        <f t="shared" ref="E197" si="164">+SUMIF($B$3:$B$14,$B197,D$3:D$14)</f>
        <v>6.93</v>
      </c>
      <c r="F197" s="1">
        <f>+($G$12*(30-$C$22)+$G$13*$C$22)/30</f>
        <v>9.5000000000000015E-3</v>
      </c>
      <c r="G197">
        <f>+F197*Melkepriskalender!$I$6</f>
        <v>85.500000000000014</v>
      </c>
      <c r="H197" s="7">
        <f t="shared" si="152"/>
        <v>622.44000000000005</v>
      </c>
      <c r="I197" s="7">
        <f t="shared" si="155"/>
        <v>592.5150000000001</v>
      </c>
    </row>
  </sheetData>
  <mergeCells count="39">
    <mergeCell ref="D35:E35"/>
    <mergeCell ref="D50:E50"/>
    <mergeCell ref="D65:E65"/>
    <mergeCell ref="J18:K18"/>
    <mergeCell ref="D155:E155"/>
    <mergeCell ref="D170:E170"/>
    <mergeCell ref="D185:E185"/>
    <mergeCell ref="H20:I20"/>
    <mergeCell ref="H35:I35"/>
    <mergeCell ref="H50:I50"/>
    <mergeCell ref="H65:I65"/>
    <mergeCell ref="H80:I80"/>
    <mergeCell ref="H95:I95"/>
    <mergeCell ref="H110:I110"/>
    <mergeCell ref="D80:E80"/>
    <mergeCell ref="D95:E95"/>
    <mergeCell ref="D110:E110"/>
    <mergeCell ref="D125:E125"/>
    <mergeCell ref="D140:E140"/>
    <mergeCell ref="D20:E20"/>
    <mergeCell ref="H185:I185"/>
    <mergeCell ref="J183:K183"/>
    <mergeCell ref="J108:K108"/>
    <mergeCell ref="H125:I125"/>
    <mergeCell ref="J123:K123"/>
    <mergeCell ref="H140:I140"/>
    <mergeCell ref="J138:K138"/>
    <mergeCell ref="Q1:T1"/>
    <mergeCell ref="M1:P1"/>
    <mergeCell ref="H155:I155"/>
    <mergeCell ref="J153:K153"/>
    <mergeCell ref="H170:I170"/>
    <mergeCell ref="J168:K168"/>
    <mergeCell ref="J33:K33"/>
    <mergeCell ref="J48:K48"/>
    <mergeCell ref="J63:K63"/>
    <mergeCell ref="J78:K78"/>
    <mergeCell ref="J93:K93"/>
    <mergeCell ref="S17:T17"/>
  </mergeCells>
  <phoneticPr fontId="1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D1A4-22B8-429B-9D1D-7AC93EA54B32}">
  <dimension ref="A1:W197"/>
  <sheetViews>
    <sheetView workbookViewId="0">
      <selection activeCell="C3" sqref="C3"/>
    </sheetView>
  </sheetViews>
  <sheetFormatPr defaultColWidth="11.42578125" defaultRowHeight="14.45"/>
  <cols>
    <col min="1" max="1" width="16" customWidth="1"/>
    <col min="2" max="2" width="4.42578125" customWidth="1"/>
    <col min="8" max="12" width="11.42578125" style="6"/>
    <col min="13" max="13" width="10" customWidth="1"/>
    <col min="14" max="14" width="10.5703125" bestFit="1" customWidth="1"/>
    <col min="15" max="18" width="10.5703125" customWidth="1"/>
    <col min="19" max="20" width="12.42578125" customWidth="1"/>
    <col min="21" max="21" width="3.42578125" customWidth="1"/>
    <col min="23" max="23" width="2.42578125" customWidth="1"/>
  </cols>
  <sheetData>
    <row r="1" spans="1:23">
      <c r="I1" s="4"/>
      <c r="J1" s="4"/>
      <c r="K1" s="4"/>
      <c r="L1" s="4"/>
      <c r="M1" s="69" t="s">
        <v>1</v>
      </c>
      <c r="N1" s="69"/>
      <c r="O1" s="69"/>
      <c r="P1" s="69"/>
      <c r="Q1" s="69" t="s">
        <v>49</v>
      </c>
      <c r="R1" s="69"/>
      <c r="S1" s="69"/>
      <c r="T1" s="69"/>
      <c r="W1" s="4"/>
    </row>
    <row r="2" spans="1:23">
      <c r="A2" t="s">
        <v>50</v>
      </c>
      <c r="C2" s="4" t="s">
        <v>1</v>
      </c>
      <c r="D2" s="5" t="s">
        <v>49</v>
      </c>
      <c r="E2" s="5"/>
      <c r="I2"/>
      <c r="J2" s="5"/>
      <c r="K2" s="8" t="s">
        <v>51</v>
      </c>
      <c r="L2" s="8" t="s">
        <v>52</v>
      </c>
      <c r="M2" s="11"/>
      <c r="N2" s="61" t="s">
        <v>53</v>
      </c>
      <c r="O2" s="11" t="s">
        <v>51</v>
      </c>
      <c r="P2" s="11" t="s">
        <v>54</v>
      </c>
      <c r="Q2" s="11"/>
      <c r="R2" s="61" t="s">
        <v>53</v>
      </c>
      <c r="S2" s="11" t="s">
        <v>51</v>
      </c>
      <c r="T2" s="11" t="s">
        <v>54</v>
      </c>
    </row>
    <row r="3" spans="1:23">
      <c r="A3" t="s">
        <v>30</v>
      </c>
      <c r="B3">
        <v>1</v>
      </c>
      <c r="C3" s="58">
        <f>+Data!C3</f>
        <v>5.29</v>
      </c>
      <c r="D3" s="58">
        <f>+Data!D3</f>
        <v>5.27</v>
      </c>
      <c r="F3">
        <v>1</v>
      </c>
      <c r="G3" s="1">
        <v>0.123</v>
      </c>
      <c r="I3">
        <v>1</v>
      </c>
      <c r="J3" t="s">
        <v>30</v>
      </c>
      <c r="K3" t="str">
        <f>+IF('Melkepriskalender (per liter)'!$I$5="Landet",'Data (per liter)'!S3,'Data (per liter)'!O3)</f>
        <v>Jan  25 øre</v>
      </c>
      <c r="L3" t="str">
        <f>+IF('Melkepriskalender (per liter)'!$I$5="Landet",'Data (per liter)'!T3,'Data (per liter)'!P3)</f>
        <v>Jan  0 øre</v>
      </c>
      <c r="M3" s="10">
        <f>+(SUMIF(C:C,$I3,$J:$J)-$J$20)/'Melkepriskalender (per liter)'!$I$7*100</f>
        <v>24.923000000000048</v>
      </c>
      <c r="N3" s="10">
        <f>ROUND(M3,0)</f>
        <v>25</v>
      </c>
      <c r="O3" s="9" t="str">
        <f>$J3&amp;"  "&amp;N3&amp;" øre"</f>
        <v>Jan  25 øre</v>
      </c>
      <c r="P3" s="9" t="str">
        <f>+$J3&amp;"  "&amp;N12&amp;" øre"</f>
        <v>Jan  0 øre</v>
      </c>
      <c r="Q3" s="10">
        <f>+(SUMIF(C:C,$I3,$K:$K)-$K$20)/'Melkepriskalender (per liter)'!$I$7*100</f>
        <v>20.011666666666862</v>
      </c>
      <c r="R3" s="10">
        <f t="shared" ref="R3:R14" si="0">ROUND(Q3,0)</f>
        <v>20</v>
      </c>
      <c r="S3" s="9" t="str">
        <f>$J3&amp;"  "&amp;R3&amp;" øre"</f>
        <v>Jan  20 øre</v>
      </c>
      <c r="T3" s="9" t="str">
        <f>+$J3&amp;"  "&amp;R12&amp;" øre"</f>
        <v>Jan  0 øre</v>
      </c>
      <c r="U3">
        <v>1</v>
      </c>
    </row>
    <row r="4" spans="1:23">
      <c r="A4" t="s">
        <v>35</v>
      </c>
      <c r="B4">
        <f>+B3+1</f>
        <v>2</v>
      </c>
      <c r="C4" s="58">
        <f>+Data!C4</f>
        <v>5.29</v>
      </c>
      <c r="D4" s="58">
        <f>+Data!D4</f>
        <v>5.27</v>
      </c>
      <c r="F4">
        <v>2</v>
      </c>
      <c r="G4" s="1">
        <v>0.14000000000000001</v>
      </c>
      <c r="I4">
        <f>+I3+1</f>
        <v>2</v>
      </c>
      <c r="J4" t="s">
        <v>35</v>
      </c>
      <c r="K4" t="str">
        <f>+IF('Melkepriskalender (per liter)'!$I$5="Landet",'Data (per liter)'!S4,'Data (per liter)'!O4)</f>
        <v>Feb  35 øre</v>
      </c>
      <c r="L4" t="str">
        <f>+IF('Melkepriskalender (per liter)'!$I$5="Landet",'Data (per liter)'!T4,'Data (per liter)'!P4)</f>
        <v>Feb  8 øre</v>
      </c>
      <c r="M4" s="10">
        <f>+(SUMIF(C:C,$I4,$J:$J)-$J$20)/'Melkepriskalender (per liter)'!$I$7*100</f>
        <v>35.243666666666648</v>
      </c>
      <c r="N4" s="10">
        <f t="shared" ref="N4:N14" si="1">ROUND(M4,0)</f>
        <v>35</v>
      </c>
      <c r="O4" s="9" t="str">
        <f t="shared" ref="O4:O14" si="2">$J4&amp;"  "&amp;N4&amp;" øre"</f>
        <v>Feb  35 øre</v>
      </c>
      <c r="P4" s="9" t="str">
        <f t="shared" ref="P4:P5" si="3">+$J4&amp;"  "&amp;N13&amp;" øre"</f>
        <v>Feb  8 øre</v>
      </c>
      <c r="Q4" s="10">
        <f>+(SUMIF(C:C,$I4,$K:$K)-$K$20)/'Melkepriskalender (per liter)'!$I$7*100</f>
        <v>29.711666666666769</v>
      </c>
      <c r="R4" s="10">
        <f t="shared" si="0"/>
        <v>30</v>
      </c>
      <c r="S4" s="9" t="str">
        <f t="shared" ref="S4:S14" si="4">$J4&amp;"  "&amp;R4&amp;" øre"</f>
        <v>Feb  30 øre</v>
      </c>
      <c r="T4" s="9" t="str">
        <f t="shared" ref="T4:T5" si="5">+$J4&amp;"  "&amp;R13&amp;" øre"</f>
        <v>Feb  5 øre</v>
      </c>
      <c r="U4">
        <v>1</v>
      </c>
    </row>
    <row r="5" spans="1:23">
      <c r="A5" t="s">
        <v>36</v>
      </c>
      <c r="B5">
        <f t="shared" ref="B5:B14" si="6">+B4+1</f>
        <v>3</v>
      </c>
      <c r="C5" s="58">
        <f>+Data!C5</f>
        <v>5.29</v>
      </c>
      <c r="D5" s="58">
        <f>+Data!D5</f>
        <v>5.27</v>
      </c>
      <c r="F5">
        <v>3</v>
      </c>
      <c r="G5" s="1">
        <v>0.13600000000000001</v>
      </c>
      <c r="I5">
        <f t="shared" ref="I5:I14" si="7">+I4+1</f>
        <v>3</v>
      </c>
      <c r="J5" t="s">
        <v>36</v>
      </c>
      <c r="K5" t="str">
        <f>+IF('Melkepriskalender (per liter)'!$I$5="Landet",'Data (per liter)'!S5,'Data (per liter)'!O5)</f>
        <v>Mar  46 øre</v>
      </c>
      <c r="L5" t="str">
        <f>+IF('Melkepriskalender (per liter)'!$I$5="Landet",'Data (per liter)'!T5,'Data (per liter)'!P5)</f>
        <v>Mar  18 øre</v>
      </c>
      <c r="M5" s="10">
        <f>+(SUMIF(C:C,$I5,$J:$J)-$J$20)/'Melkepriskalender (per liter)'!$I$7*100</f>
        <v>45.848166666666565</v>
      </c>
      <c r="N5" s="10">
        <f t="shared" si="1"/>
        <v>46</v>
      </c>
      <c r="O5" s="9" t="str">
        <f t="shared" si="2"/>
        <v>Mar  46 øre</v>
      </c>
      <c r="P5" s="9" t="str">
        <f t="shared" si="3"/>
        <v>Mar  18 øre</v>
      </c>
      <c r="Q5" s="10">
        <f>+(SUMIF(C:C,$I5,$K:$K)-$K$20)/'Melkepriskalender (per liter)'!$I$7*100</f>
        <v>39.65499999999993</v>
      </c>
      <c r="R5" s="10">
        <f t="shared" si="0"/>
        <v>40</v>
      </c>
      <c r="S5" s="9" t="str">
        <f t="shared" si="4"/>
        <v>Mar  40 øre</v>
      </c>
      <c r="T5" s="9" t="str">
        <f t="shared" si="5"/>
        <v>Mar  14 øre</v>
      </c>
      <c r="U5">
        <v>1</v>
      </c>
    </row>
    <row r="6" spans="1:23">
      <c r="A6" t="s">
        <v>38</v>
      </c>
      <c r="B6">
        <f t="shared" si="6"/>
        <v>4</v>
      </c>
      <c r="C6" s="58">
        <f>+Data!C6</f>
        <v>5.29</v>
      </c>
      <c r="D6" s="58">
        <f>+Data!D6</f>
        <v>5.27</v>
      </c>
      <c r="F6">
        <v>4</v>
      </c>
      <c r="G6" s="1">
        <v>0.112</v>
      </c>
      <c r="I6">
        <f t="shared" si="7"/>
        <v>4</v>
      </c>
      <c r="J6" t="s">
        <v>38</v>
      </c>
      <c r="K6" t="str">
        <f>+IF('Melkepriskalender (per liter)'!$I$5="Landet",'Data (per liter)'!S6,'Data (per liter)'!O6)</f>
        <v>Apr  56 øre</v>
      </c>
      <c r="L6" t="str">
        <f>+IF('Melkepriskalender (per liter)'!$I$5="Landet",'Data (per liter)'!T6,'Data (per liter)'!P6)</f>
        <v>Apr  25 øre</v>
      </c>
      <c r="M6" s="10">
        <f>+(SUMIF(C:C,$I6,$J:$J)-$J$20)/'Melkepriskalender (per liter)'!$I$7*100</f>
        <v>56.304666666666613</v>
      </c>
      <c r="N6" s="10">
        <f t="shared" si="1"/>
        <v>56</v>
      </c>
      <c r="O6" s="9" t="str">
        <f t="shared" si="2"/>
        <v>Apr  56 øre</v>
      </c>
      <c r="P6" s="9" t="str">
        <f>+$J6&amp;"  "&amp;N3&amp;" øre"</f>
        <v>Apr  25 øre</v>
      </c>
      <c r="Q6" s="10">
        <f>+(SUMIF(C:C,$I6,$K:$K)-$K$20)/'Melkepriskalender (per liter)'!$I$7*100</f>
        <v>49.012000000000079</v>
      </c>
      <c r="R6" s="10">
        <f t="shared" si="0"/>
        <v>49</v>
      </c>
      <c r="S6" s="9" t="str">
        <f t="shared" si="4"/>
        <v>Apr  49 øre</v>
      </c>
      <c r="T6" s="9" t="str">
        <f>+$J6&amp;"  "&amp;R3&amp;" øre"</f>
        <v>Apr  20 øre</v>
      </c>
      <c r="U6">
        <v>1</v>
      </c>
    </row>
    <row r="7" spans="1:23">
      <c r="A7" t="s">
        <v>39</v>
      </c>
      <c r="B7">
        <f t="shared" si="6"/>
        <v>5</v>
      </c>
      <c r="C7" s="58">
        <f>+Data!C7</f>
        <v>5.37</v>
      </c>
      <c r="D7" s="58">
        <f>+Data!D7</f>
        <v>5.37</v>
      </c>
      <c r="F7">
        <v>5</v>
      </c>
      <c r="G7" s="1">
        <v>0.105</v>
      </c>
      <c r="I7">
        <f t="shared" si="7"/>
        <v>5</v>
      </c>
      <c r="J7" t="s">
        <v>39</v>
      </c>
      <c r="K7" t="str">
        <f>+IF('Melkepriskalender (per liter)'!$I$5="Landet",'Data (per liter)'!S7,'Data (per liter)'!O7)</f>
        <v>Mai  66 øre</v>
      </c>
      <c r="L7" t="str">
        <f>+IF('Melkepriskalender (per liter)'!$I$5="Landet",'Data (per liter)'!T7,'Data (per liter)'!P7)</f>
        <v>Mai  35 øre</v>
      </c>
      <c r="M7" s="10">
        <f>+(SUMIF(C:C,$I7,$J:$J)-$J$20)/'Melkepriskalender (per liter)'!$I$7*100</f>
        <v>65.701499999999953</v>
      </c>
      <c r="N7" s="10">
        <f t="shared" si="1"/>
        <v>66</v>
      </c>
      <c r="O7" s="9" t="str">
        <f t="shared" si="2"/>
        <v>Mai  66 øre</v>
      </c>
      <c r="P7" s="9" t="str">
        <f t="shared" ref="P7:P14" si="8">+$J7&amp;"  "&amp;N4&amp;" øre"</f>
        <v>Mai  35 øre</v>
      </c>
      <c r="Q7" s="10">
        <f>+(SUMIF(C:C,$I7,$K:$K)-$K$20)/'Melkepriskalender (per liter)'!$I$7*100</f>
        <v>57.43166666666675</v>
      </c>
      <c r="R7" s="10">
        <f t="shared" si="0"/>
        <v>57</v>
      </c>
      <c r="S7" s="9" t="str">
        <f t="shared" si="4"/>
        <v>Mai  57 øre</v>
      </c>
      <c r="T7" s="9" t="str">
        <f t="shared" ref="T7:T14" si="9">+$J7&amp;"  "&amp;R4&amp;" øre"</f>
        <v>Mai  30 øre</v>
      </c>
      <c r="U7">
        <v>1</v>
      </c>
    </row>
    <row r="8" spans="1:23">
      <c r="A8" t="s">
        <v>40</v>
      </c>
      <c r="B8">
        <f t="shared" si="6"/>
        <v>6</v>
      </c>
      <c r="C8" s="58">
        <f>+Data!C8</f>
        <v>6.77</v>
      </c>
      <c r="D8" s="58">
        <f>+Data!D8</f>
        <v>6.47</v>
      </c>
      <c r="F8">
        <v>6</v>
      </c>
      <c r="G8" s="1">
        <v>9.5000000000000001E-2</v>
      </c>
      <c r="I8">
        <f t="shared" si="7"/>
        <v>6</v>
      </c>
      <c r="J8" t="s">
        <v>40</v>
      </c>
      <c r="K8" t="str">
        <f>+IF('Melkepriskalender (per liter)'!$I$5="Landet",'Data (per liter)'!S8,'Data (per liter)'!O8)</f>
        <v>Jun  68 øre</v>
      </c>
      <c r="L8" t="str">
        <f>+IF('Melkepriskalender (per liter)'!$I$5="Landet",'Data (per liter)'!T8,'Data (per liter)'!P8)</f>
        <v>Jun  46 øre</v>
      </c>
      <c r="M8" s="10">
        <f>+(SUMIF(C:C,$I8,$J:$J)-$J$20)/'Melkepriskalender (per liter)'!$I$7*100</f>
        <v>67.782666666666586</v>
      </c>
      <c r="N8" s="10">
        <f t="shared" si="1"/>
        <v>68</v>
      </c>
      <c r="O8" s="9" t="str">
        <f t="shared" si="2"/>
        <v>Jun  68 øre</v>
      </c>
      <c r="P8" s="9" t="str">
        <f t="shared" si="8"/>
        <v>Jun  46 øre</v>
      </c>
      <c r="Q8" s="10">
        <f>+(SUMIF(C:C,$I8,$K:$K)-$K$20)/'Melkepriskalender (per liter)'!$I$7*100</f>
        <v>59.865333333333368</v>
      </c>
      <c r="R8" s="10">
        <f t="shared" si="0"/>
        <v>60</v>
      </c>
      <c r="S8" s="9" t="str">
        <f t="shared" si="4"/>
        <v>Jun  60 øre</v>
      </c>
      <c r="T8" s="9" t="str">
        <f t="shared" si="9"/>
        <v>Jun  40 øre</v>
      </c>
      <c r="U8">
        <v>1</v>
      </c>
    </row>
    <row r="9" spans="1:23">
      <c r="A9" t="s">
        <v>41</v>
      </c>
      <c r="B9">
        <f t="shared" si="6"/>
        <v>7</v>
      </c>
      <c r="C9" s="58">
        <f>+Data!C9</f>
        <v>7.2799999999999994</v>
      </c>
      <c r="D9" s="58">
        <f>+Data!D9</f>
        <v>6.93</v>
      </c>
      <c r="F9">
        <v>7</v>
      </c>
      <c r="G9" s="1">
        <v>8.5999999999999993E-2</v>
      </c>
      <c r="I9">
        <f t="shared" si="7"/>
        <v>7</v>
      </c>
      <c r="J9" t="s">
        <v>41</v>
      </c>
      <c r="K9" t="str">
        <f>+IF('Melkepriskalender (per liter)'!$I$5="Landet",'Data (per liter)'!S9,'Data (per liter)'!O9)</f>
        <v>Jul  52 øre</v>
      </c>
      <c r="L9" t="str">
        <f>+IF('Melkepriskalender (per liter)'!$I$5="Landet",'Data (per liter)'!T9,'Data (per liter)'!P9)</f>
        <v>Jul  56 øre</v>
      </c>
      <c r="M9" s="10">
        <f>+(SUMIF(C:C,$I9,$J:$J)-$J$20)/'Melkepriskalender (per liter)'!$I$7*100</f>
        <v>51.77866666666668</v>
      </c>
      <c r="N9" s="10">
        <f t="shared" si="1"/>
        <v>52</v>
      </c>
      <c r="O9" s="9" t="str">
        <f t="shared" si="2"/>
        <v>Jul  52 øre</v>
      </c>
      <c r="P9" s="9" t="str">
        <f t="shared" si="8"/>
        <v>Jul  56 øre</v>
      </c>
      <c r="Q9" s="10">
        <f>+(SUMIF(C:C,$I9,$K:$K)-$K$20)/'Melkepriskalender (per liter)'!$I$7*100</f>
        <v>47.660333333333348</v>
      </c>
      <c r="R9" s="10">
        <f t="shared" si="0"/>
        <v>48</v>
      </c>
      <c r="S9" s="9" t="str">
        <f t="shared" si="4"/>
        <v>Jul  48 øre</v>
      </c>
      <c r="T9" s="9" t="str">
        <f t="shared" si="9"/>
        <v>Jul  49 øre</v>
      </c>
      <c r="U9">
        <v>1</v>
      </c>
    </row>
    <row r="10" spans="1:23">
      <c r="A10" t="s">
        <v>42</v>
      </c>
      <c r="B10">
        <f t="shared" si="6"/>
        <v>8</v>
      </c>
      <c r="C10" s="58">
        <f>+Data!C10</f>
        <v>7.42</v>
      </c>
      <c r="D10" s="58">
        <f>+Data!D10</f>
        <v>7.2299999999999995</v>
      </c>
      <c r="F10">
        <v>8</v>
      </c>
      <c r="G10" s="1">
        <v>7.6999999999999999E-2</v>
      </c>
      <c r="I10">
        <f t="shared" si="7"/>
        <v>8</v>
      </c>
      <c r="J10" t="s">
        <v>42</v>
      </c>
      <c r="K10" t="str">
        <f>+IF('Melkepriskalender (per liter)'!$I$5="Landet",'Data (per liter)'!S10,'Data (per liter)'!O10)</f>
        <v>Aug  28 øre</v>
      </c>
      <c r="L10" t="str">
        <f>+IF('Melkepriskalender (per liter)'!$I$5="Landet",'Data (per liter)'!T10,'Data (per liter)'!P10)</f>
        <v>Aug  66 øre</v>
      </c>
      <c r="M10" s="10">
        <f>+(SUMIF(C:C,$I10,$J:$J)-$J$20)/'Melkepriskalender (per liter)'!$I$7*100</f>
        <v>28.140999999999895</v>
      </c>
      <c r="N10" s="10">
        <f t="shared" si="1"/>
        <v>28</v>
      </c>
      <c r="O10" s="9" t="str">
        <f t="shared" si="2"/>
        <v>Aug  28 øre</v>
      </c>
      <c r="P10" s="9" t="str">
        <f t="shared" si="8"/>
        <v>Aug  66 øre</v>
      </c>
      <c r="Q10" s="10">
        <f>+(SUMIF(C:C,$I10,$K:$K)-$K$20)/'Melkepriskalender (per liter)'!$I$7*100</f>
        <v>28.043666666666649</v>
      </c>
      <c r="R10" s="10">
        <f t="shared" si="0"/>
        <v>28</v>
      </c>
      <c r="S10" s="9" t="str">
        <f t="shared" si="4"/>
        <v>Aug  28 øre</v>
      </c>
      <c r="T10" s="9" t="str">
        <f t="shared" si="9"/>
        <v>Aug  57 øre</v>
      </c>
      <c r="U10">
        <v>1</v>
      </c>
    </row>
    <row r="11" spans="1:23">
      <c r="A11" t="s">
        <v>43</v>
      </c>
      <c r="B11">
        <f t="shared" si="6"/>
        <v>9</v>
      </c>
      <c r="C11" s="58">
        <f>+Data!C11</f>
        <v>7.42</v>
      </c>
      <c r="D11" s="58">
        <f>+Data!D11</f>
        <v>7.2299999999999995</v>
      </c>
      <c r="F11">
        <v>9</v>
      </c>
      <c r="G11" s="1">
        <v>6.9000000000000006E-2</v>
      </c>
      <c r="I11">
        <f t="shared" si="7"/>
        <v>9</v>
      </c>
      <c r="J11" t="s">
        <v>43</v>
      </c>
      <c r="K11" t="str">
        <f>+IF('Melkepriskalender (per liter)'!$I$5="Landet",'Data (per liter)'!S11,'Data (per liter)'!O11)</f>
        <v>Sep  10 øre</v>
      </c>
      <c r="L11" t="str">
        <f>+IF('Melkepriskalender (per liter)'!$I$5="Landet",'Data (per liter)'!T11,'Data (per liter)'!P11)</f>
        <v>Sep  68 øre</v>
      </c>
      <c r="M11" s="10">
        <f>+(SUMIF(C:C,$I11,$J:$J)-$J$20)/'Melkepriskalender (per liter)'!$I$7*100</f>
        <v>9.6071666666665809</v>
      </c>
      <c r="N11" s="10">
        <f t="shared" si="1"/>
        <v>10</v>
      </c>
      <c r="O11" s="9" t="str">
        <f t="shared" si="2"/>
        <v>Sep  10 øre</v>
      </c>
      <c r="P11" s="9" t="str">
        <f t="shared" si="8"/>
        <v>Sep  68 øre</v>
      </c>
      <c r="Q11" s="10">
        <f>+(SUMIF(C:C,$I11,$K:$K)-$K$20)/'Melkepriskalender (per liter)'!$I$7*100</f>
        <v>10.230333333333329</v>
      </c>
      <c r="R11" s="10">
        <f t="shared" si="0"/>
        <v>10</v>
      </c>
      <c r="S11" s="9" t="str">
        <f t="shared" si="4"/>
        <v>Sep  10 øre</v>
      </c>
      <c r="T11" s="9" t="str">
        <f t="shared" si="9"/>
        <v>Sep  60 øre</v>
      </c>
      <c r="U11">
        <v>1</v>
      </c>
    </row>
    <row r="12" spans="1:23">
      <c r="A12" t="s">
        <v>44</v>
      </c>
      <c r="B12">
        <f t="shared" si="6"/>
        <v>10</v>
      </c>
      <c r="C12" s="58">
        <f>+Data!C12</f>
        <v>5.96</v>
      </c>
      <c r="D12" s="58">
        <f>+Data!D12</f>
        <v>6.0299999999999994</v>
      </c>
      <c r="F12">
        <v>10</v>
      </c>
      <c r="G12" s="1">
        <v>5.7000000000000002E-2</v>
      </c>
      <c r="I12">
        <f t="shared" si="7"/>
        <v>10</v>
      </c>
      <c r="J12" t="s">
        <v>44</v>
      </c>
      <c r="K12" t="str">
        <f>+IF('Melkepriskalender (per liter)'!$I$5="Landet",'Data (per liter)'!S12,'Data (per liter)'!O12)</f>
        <v>Okt  0 øre</v>
      </c>
      <c r="L12" t="str">
        <f>+IF('Melkepriskalender (per liter)'!$I$5="Landet",'Data (per liter)'!T12,'Data (per liter)'!P12)</f>
        <v>Okt  52 øre</v>
      </c>
      <c r="M12" s="10">
        <f>+(SUMIF(C:C,$I12,$J:$J)-$J$20)/'Melkepriskalender (per liter)'!$I$7*100</f>
        <v>0</v>
      </c>
      <c r="N12" s="10">
        <f t="shared" si="1"/>
        <v>0</v>
      </c>
      <c r="O12" s="9" t="str">
        <f t="shared" si="2"/>
        <v>Okt  0 øre</v>
      </c>
      <c r="P12" s="9" t="str">
        <f t="shared" si="8"/>
        <v>Okt  52 øre</v>
      </c>
      <c r="Q12" s="10">
        <f>+(SUMIF(C:C,$I12,$K:$K)-$K$20)/'Melkepriskalender (per liter)'!$I$7*100</f>
        <v>0</v>
      </c>
      <c r="R12" s="10">
        <f t="shared" si="0"/>
        <v>0</v>
      </c>
      <c r="S12" s="9" t="str">
        <f t="shared" si="4"/>
        <v>Okt  0 øre</v>
      </c>
      <c r="T12" s="9" t="str">
        <f t="shared" si="9"/>
        <v>Okt  48 øre</v>
      </c>
      <c r="U12">
        <v>1</v>
      </c>
    </row>
    <row r="13" spans="1:23">
      <c r="A13" t="s">
        <v>45</v>
      </c>
      <c r="B13">
        <f t="shared" si="6"/>
        <v>11</v>
      </c>
      <c r="C13" s="58">
        <f>+Data!C13</f>
        <v>5.7299999999999995</v>
      </c>
      <c r="D13" s="58">
        <f>+Data!D13</f>
        <v>5.7299999999999995</v>
      </c>
      <c r="I13">
        <f t="shared" si="7"/>
        <v>11</v>
      </c>
      <c r="J13" t="s">
        <v>45</v>
      </c>
      <c r="K13" t="str">
        <f>+IF('Melkepriskalender (per liter)'!$I$5="Landet",'Data (per liter)'!S13,'Data (per liter)'!O13)</f>
        <v>Nov  8 øre</v>
      </c>
      <c r="L13" t="str">
        <f>+IF('Melkepriskalender (per liter)'!$I$5="Landet",'Data (per liter)'!T13,'Data (per liter)'!P13)</f>
        <v>Nov  28 øre</v>
      </c>
      <c r="M13" s="10">
        <f>+(SUMIF(C:C,$I13,$J:$J)-$J$20)/'Melkepriskalender (per liter)'!$I$7*100</f>
        <v>7.7321666666664903</v>
      </c>
      <c r="N13" s="10">
        <f t="shared" si="1"/>
        <v>8</v>
      </c>
      <c r="O13" s="9" t="str">
        <f t="shared" si="2"/>
        <v>Nov  8 øre</v>
      </c>
      <c r="P13" s="9" t="str">
        <f t="shared" si="8"/>
        <v>Nov  28 øre</v>
      </c>
      <c r="Q13" s="10">
        <f>+(SUMIF(C:C,$I13,$K:$K)-$K$20)/'Melkepriskalender (per liter)'!$I$7*100</f>
        <v>5.1536666666666866</v>
      </c>
      <c r="R13" s="10">
        <f t="shared" si="0"/>
        <v>5</v>
      </c>
      <c r="S13" s="9" t="str">
        <f t="shared" si="4"/>
        <v>Nov  5 øre</v>
      </c>
      <c r="T13" s="9" t="str">
        <f t="shared" si="9"/>
        <v>Nov  28 øre</v>
      </c>
      <c r="U13">
        <v>1</v>
      </c>
    </row>
    <row r="14" spans="1:23" ht="15" thickBot="1">
      <c r="A14" t="s">
        <v>47</v>
      </c>
      <c r="B14">
        <f t="shared" si="6"/>
        <v>12</v>
      </c>
      <c r="C14" s="58">
        <f>+Data!C14</f>
        <v>5.7299999999999995</v>
      </c>
      <c r="D14" s="58">
        <f>+Data!D14</f>
        <v>5.7299999999999995</v>
      </c>
      <c r="I14">
        <f t="shared" si="7"/>
        <v>12</v>
      </c>
      <c r="J14" t="s">
        <v>47</v>
      </c>
      <c r="K14" t="str">
        <f>+IF('Melkepriskalender (per liter)'!$I$5="Landet",'Data (per liter)'!S14,'Data (per liter)'!O14)</f>
        <v>Des  18 øre</v>
      </c>
      <c r="L14" t="str">
        <f>+IF('Melkepriskalender (per liter)'!$I$5="Landet",'Data (per liter)'!T14,'Data (per liter)'!P14)</f>
        <v>Des  10 øre</v>
      </c>
      <c r="M14" s="10">
        <f>+(SUMIF(C:C,$I14,$J:$J)-$J$20)/'Melkepriskalender (per liter)'!$I$7*100</f>
        <v>18.321333333333222</v>
      </c>
      <c r="N14" s="10">
        <f t="shared" si="1"/>
        <v>18</v>
      </c>
      <c r="O14" s="9" t="str">
        <f t="shared" si="2"/>
        <v>Des  18 øre</v>
      </c>
      <c r="P14" s="9" t="str">
        <f t="shared" si="8"/>
        <v>Des  10 øre</v>
      </c>
      <c r="Q14" s="10">
        <f>+(SUMIF(C:C,$I14,$K:$K)-$K$20)/'Melkepriskalender (per liter)'!$I$7*100</f>
        <v>14.016666666666696</v>
      </c>
      <c r="R14" s="10">
        <f t="shared" si="0"/>
        <v>14</v>
      </c>
      <c r="S14" s="9" t="str">
        <f t="shared" si="4"/>
        <v>Des  14 øre</v>
      </c>
      <c r="T14" s="9" t="str">
        <f t="shared" si="9"/>
        <v>Des  10 øre</v>
      </c>
      <c r="U14">
        <v>1</v>
      </c>
    </row>
    <row r="15" spans="1:23">
      <c r="F15" s="12" t="s">
        <v>68</v>
      </c>
      <c r="G15" s="13" t="s">
        <v>1</v>
      </c>
    </row>
    <row r="16" spans="1:23" ht="15" thickBot="1">
      <c r="F16" s="14"/>
      <c r="G16" s="15" t="s">
        <v>49</v>
      </c>
    </row>
    <row r="17" spans="1:20">
      <c r="S17" s="71">
        <v>2021</v>
      </c>
      <c r="T17" s="71"/>
    </row>
    <row r="18" spans="1:20">
      <c r="J18" s="70" t="s">
        <v>70</v>
      </c>
      <c r="K18" s="70"/>
      <c r="L18" s="60"/>
      <c r="N18" s="4" t="s">
        <v>87</v>
      </c>
      <c r="O18" s="60" t="s">
        <v>1</v>
      </c>
      <c r="P18" s="60" t="s">
        <v>49</v>
      </c>
      <c r="Q18" s="4">
        <v>2020</v>
      </c>
      <c r="R18" s="4">
        <v>2021</v>
      </c>
      <c r="S18" s="60" t="s">
        <v>1</v>
      </c>
      <c r="T18" s="60" t="s">
        <v>49</v>
      </c>
    </row>
    <row r="19" spans="1:20">
      <c r="A19" t="s">
        <v>71</v>
      </c>
      <c r="J19" s="60" t="s">
        <v>1</v>
      </c>
      <c r="K19" s="60" t="s">
        <v>49</v>
      </c>
      <c r="L19" s="60"/>
      <c r="N19">
        <v>4.37</v>
      </c>
      <c r="O19">
        <v>-0.32</v>
      </c>
      <c r="P19">
        <v>-0.27</v>
      </c>
      <c r="Q19">
        <v>-0.15</v>
      </c>
      <c r="R19">
        <v>-0.25</v>
      </c>
      <c r="S19">
        <f t="shared" ref="S19:S30" si="10">+N19+O19+R19</f>
        <v>3.8</v>
      </c>
      <c r="T19">
        <f t="shared" ref="T19:T30" si="11">+N19+P19+R19</f>
        <v>3.8499999999999996</v>
      </c>
    </row>
    <row r="20" spans="1:20">
      <c r="A20" s="2">
        <v>43744</v>
      </c>
      <c r="B20">
        <f>+DAY(A20)</f>
        <v>6</v>
      </c>
      <c r="C20">
        <f>+MONTH(A20)</f>
        <v>10</v>
      </c>
      <c r="D20" s="71" t="s">
        <v>50</v>
      </c>
      <c r="E20" s="71"/>
      <c r="H20" s="70" t="s">
        <v>72</v>
      </c>
      <c r="I20" s="70"/>
      <c r="J20" s="6">
        <f>+SUM(H22:H32)</f>
        <v>45817.44000000001</v>
      </c>
      <c r="K20" s="6">
        <f>+SUM(I22:I32)</f>
        <v>45461.386666666665</v>
      </c>
      <c r="N20">
        <v>4.37</v>
      </c>
      <c r="O20">
        <v>-0.32</v>
      </c>
      <c r="P20">
        <v>-0.27</v>
      </c>
      <c r="Q20">
        <v>-0.2</v>
      </c>
      <c r="R20">
        <v>-0.25</v>
      </c>
      <c r="S20">
        <f t="shared" si="10"/>
        <v>3.8</v>
      </c>
      <c r="T20">
        <f t="shared" si="11"/>
        <v>3.8499999999999996</v>
      </c>
    </row>
    <row r="21" spans="1:20">
      <c r="C21" s="4" t="s">
        <v>73</v>
      </c>
      <c r="D21" s="59" t="s">
        <v>1</v>
      </c>
      <c r="E21" s="59" t="s">
        <v>49</v>
      </c>
      <c r="F21" s="4" t="s">
        <v>74</v>
      </c>
      <c r="G21" s="4" t="s">
        <v>75</v>
      </c>
      <c r="H21" s="60" t="s">
        <v>1</v>
      </c>
      <c r="I21" s="60" t="s">
        <v>49</v>
      </c>
      <c r="N21">
        <v>4.37</v>
      </c>
      <c r="O21">
        <v>-0.32</v>
      </c>
      <c r="P21">
        <v>-0.27</v>
      </c>
      <c r="Q21">
        <v>-0.2</v>
      </c>
      <c r="R21">
        <v>-0.25</v>
      </c>
      <c r="S21">
        <f t="shared" si="10"/>
        <v>3.8</v>
      </c>
      <c r="T21">
        <f t="shared" si="11"/>
        <v>3.8499999999999996</v>
      </c>
    </row>
    <row r="22" spans="1:20">
      <c r="A22" t="s">
        <v>76</v>
      </c>
      <c r="B22">
        <f>+C20</f>
        <v>10</v>
      </c>
      <c r="C22">
        <f>30-B20+1</f>
        <v>25</v>
      </c>
      <c r="D22">
        <f>+SUMIF($B$3:$B$14,$B22,C$3:C$14)</f>
        <v>5.96</v>
      </c>
      <c r="E22">
        <f>+SUMIF($B$3:$B$14,$B22,D$3:D$14)</f>
        <v>6.0299999999999994</v>
      </c>
      <c r="F22" s="1">
        <f>+$G$3*$C22/30</f>
        <v>0.10250000000000001</v>
      </c>
      <c r="G22">
        <f>+F22*'Melkepriskalender (per liter)'!$I$7</f>
        <v>820.00000000000011</v>
      </c>
      <c r="H22" s="7">
        <f>+$G22*D22</f>
        <v>4887.2000000000007</v>
      </c>
      <c r="I22" s="7">
        <f>+$G22*E22</f>
        <v>4944.6000000000004</v>
      </c>
      <c r="N22">
        <v>4.37</v>
      </c>
      <c r="O22">
        <v>-0.32</v>
      </c>
      <c r="P22">
        <v>-0.27</v>
      </c>
      <c r="Q22">
        <v>-0.15</v>
      </c>
      <c r="R22">
        <v>-0.25</v>
      </c>
      <c r="S22">
        <f t="shared" si="10"/>
        <v>3.8</v>
      </c>
      <c r="T22">
        <f t="shared" si="11"/>
        <v>3.8499999999999996</v>
      </c>
    </row>
    <row r="23" spans="1:20">
      <c r="A23" t="s">
        <v>77</v>
      </c>
      <c r="B23">
        <f>IF(B22+1&gt;12,1,B22+1)</f>
        <v>11</v>
      </c>
      <c r="C23">
        <v>30</v>
      </c>
      <c r="D23">
        <f t="shared" ref="D23:E32" si="12">+SUMIF($B$3:$B$14,$B23,C$3:C$14)</f>
        <v>5.7299999999999995</v>
      </c>
      <c r="E23">
        <f t="shared" si="12"/>
        <v>5.7299999999999995</v>
      </c>
      <c r="F23" s="1">
        <f>+($G$3*(30-$C$22)+$G$4*$C$22)/30</f>
        <v>0.13716666666666669</v>
      </c>
      <c r="G23">
        <f>+F23*'Melkepriskalender (per liter)'!$I$7</f>
        <v>1097.3333333333335</v>
      </c>
      <c r="H23" s="7">
        <f t="shared" ref="H23:I32" si="13">+$G23*D23</f>
        <v>6287.72</v>
      </c>
      <c r="I23" s="7">
        <f t="shared" si="13"/>
        <v>6287.72</v>
      </c>
      <c r="N23">
        <v>4.37</v>
      </c>
      <c r="O23">
        <v>-0.32</v>
      </c>
      <c r="P23">
        <v>-0.15</v>
      </c>
      <c r="Q23">
        <v>-0.1</v>
      </c>
      <c r="R23">
        <v>-0.15</v>
      </c>
      <c r="S23">
        <f t="shared" si="10"/>
        <v>3.9</v>
      </c>
      <c r="T23">
        <f t="shared" si="11"/>
        <v>4.0699999999999994</v>
      </c>
    </row>
    <row r="24" spans="1:20">
      <c r="A24" t="s">
        <v>78</v>
      </c>
      <c r="B24">
        <f t="shared" ref="B24:B32" si="14">IF(B23+1&gt;12,1,B23+1)</f>
        <v>12</v>
      </c>
      <c r="C24">
        <v>30</v>
      </c>
      <c r="D24">
        <f t="shared" si="12"/>
        <v>5.7299999999999995</v>
      </c>
      <c r="E24">
        <f t="shared" si="12"/>
        <v>5.7299999999999995</v>
      </c>
      <c r="F24" s="1">
        <f>+($G$4*(30-$C$22)+$G$5*$C$22)/30</f>
        <v>0.13666666666666669</v>
      </c>
      <c r="G24">
        <f>+F24*'Melkepriskalender (per liter)'!$I$7</f>
        <v>1093.3333333333335</v>
      </c>
      <c r="H24" s="7">
        <f t="shared" si="13"/>
        <v>6264.8</v>
      </c>
      <c r="I24" s="7">
        <f t="shared" si="13"/>
        <v>6264.8</v>
      </c>
      <c r="N24">
        <v>4.37</v>
      </c>
      <c r="O24">
        <v>0.84</v>
      </c>
      <c r="P24">
        <v>0.45</v>
      </c>
      <c r="Q24">
        <v>0.2</v>
      </c>
      <c r="R24">
        <v>0.1</v>
      </c>
      <c r="S24">
        <f t="shared" si="10"/>
        <v>5.31</v>
      </c>
      <c r="T24">
        <f t="shared" si="11"/>
        <v>4.92</v>
      </c>
    </row>
    <row r="25" spans="1:20">
      <c r="A25" t="s">
        <v>79</v>
      </c>
      <c r="B25">
        <f t="shared" si="14"/>
        <v>1</v>
      </c>
      <c r="C25">
        <v>30</v>
      </c>
      <c r="D25">
        <f t="shared" si="12"/>
        <v>5.29</v>
      </c>
      <c r="E25">
        <f t="shared" si="12"/>
        <v>5.27</v>
      </c>
      <c r="F25" s="1">
        <f>+($G$5*(30-$C$22)+$G$6*$C$22)/30</f>
        <v>0.11600000000000002</v>
      </c>
      <c r="G25">
        <f>+F25*'Melkepriskalender (per liter)'!$I$7</f>
        <v>928.00000000000011</v>
      </c>
      <c r="H25" s="7">
        <f t="shared" si="13"/>
        <v>4909.1200000000008</v>
      </c>
      <c r="I25" s="7">
        <f t="shared" si="13"/>
        <v>4890.5600000000004</v>
      </c>
      <c r="N25">
        <v>4.37</v>
      </c>
      <c r="O25">
        <v>0.84</v>
      </c>
      <c r="P25">
        <v>0.45</v>
      </c>
      <c r="Q25">
        <v>0.45</v>
      </c>
      <c r="R25">
        <v>0.35</v>
      </c>
      <c r="S25">
        <f t="shared" si="10"/>
        <v>5.56</v>
      </c>
      <c r="T25">
        <f t="shared" si="11"/>
        <v>5.17</v>
      </c>
    </row>
    <row r="26" spans="1:20">
      <c r="A26" t="s">
        <v>80</v>
      </c>
      <c r="B26">
        <f t="shared" si="14"/>
        <v>2</v>
      </c>
      <c r="C26">
        <v>30</v>
      </c>
      <c r="D26">
        <f t="shared" si="12"/>
        <v>5.29</v>
      </c>
      <c r="E26">
        <f t="shared" si="12"/>
        <v>5.27</v>
      </c>
      <c r="F26" s="1">
        <f>+($G$6*(30-$C$22)+$G$7*$C$22)/30</f>
        <v>0.10616666666666667</v>
      </c>
      <c r="G26">
        <f>+F26*'Melkepriskalender (per liter)'!$I$7</f>
        <v>849.33333333333337</v>
      </c>
      <c r="H26" s="7">
        <f t="shared" si="13"/>
        <v>4492.9733333333334</v>
      </c>
      <c r="I26" s="7">
        <f t="shared" si="13"/>
        <v>4475.9866666666667</v>
      </c>
      <c r="N26">
        <v>4.37</v>
      </c>
      <c r="O26">
        <v>0.99</v>
      </c>
      <c r="P26">
        <v>0.56000000000000005</v>
      </c>
      <c r="Q26">
        <v>0.45</v>
      </c>
      <c r="R26">
        <v>0.35</v>
      </c>
      <c r="S26">
        <f t="shared" si="10"/>
        <v>5.71</v>
      </c>
      <c r="T26">
        <f t="shared" si="11"/>
        <v>5.2799999999999994</v>
      </c>
    </row>
    <row r="27" spans="1:20">
      <c r="A27" t="s">
        <v>81</v>
      </c>
      <c r="B27">
        <f t="shared" si="14"/>
        <v>3</v>
      </c>
      <c r="C27">
        <v>30</v>
      </c>
      <c r="D27">
        <f t="shared" si="12"/>
        <v>5.29</v>
      </c>
      <c r="E27">
        <f t="shared" si="12"/>
        <v>5.27</v>
      </c>
      <c r="F27" s="1">
        <f>+($G$7*(30-$C$22)+$G$8*$C$22)/30</f>
        <v>9.6666666666666665E-2</v>
      </c>
      <c r="G27">
        <f>+F27*'Melkepriskalender (per liter)'!$I$7</f>
        <v>773.33333333333337</v>
      </c>
      <c r="H27" s="7">
        <f t="shared" si="13"/>
        <v>4090.9333333333334</v>
      </c>
      <c r="I27" s="7">
        <f t="shared" si="13"/>
        <v>4075.4666666666667</v>
      </c>
      <c r="N27">
        <v>4.37</v>
      </c>
      <c r="O27">
        <v>0.99</v>
      </c>
      <c r="P27">
        <v>0.56000000000000005</v>
      </c>
      <c r="Q27">
        <v>0.45</v>
      </c>
      <c r="R27">
        <v>0.35</v>
      </c>
      <c r="S27">
        <f t="shared" si="10"/>
        <v>5.71</v>
      </c>
      <c r="T27">
        <f t="shared" si="11"/>
        <v>5.2799999999999994</v>
      </c>
    </row>
    <row r="28" spans="1:20">
      <c r="A28" t="s">
        <v>82</v>
      </c>
      <c r="B28">
        <f t="shared" si="14"/>
        <v>4</v>
      </c>
      <c r="C28">
        <v>30</v>
      </c>
      <c r="D28">
        <f t="shared" si="12"/>
        <v>5.29</v>
      </c>
      <c r="E28">
        <f t="shared" si="12"/>
        <v>5.27</v>
      </c>
      <c r="F28" s="1">
        <f>+($G$8*(30-$C$22)+$G$9*$C$22)/30</f>
        <v>8.7499999999999994E-2</v>
      </c>
      <c r="G28">
        <f>+F28*'Melkepriskalender (per liter)'!$I$7</f>
        <v>700</v>
      </c>
      <c r="H28" s="7">
        <f t="shared" si="13"/>
        <v>3703</v>
      </c>
      <c r="I28" s="7">
        <f t="shared" si="13"/>
        <v>3688.9999999999995</v>
      </c>
      <c r="N28">
        <v>4.37</v>
      </c>
      <c r="O28">
        <v>-0.32</v>
      </c>
      <c r="P28">
        <v>-0.15</v>
      </c>
      <c r="Q28">
        <v>-7.0000000000000007E-2</v>
      </c>
      <c r="R28">
        <v>0.25</v>
      </c>
      <c r="S28">
        <f t="shared" si="10"/>
        <v>4.3</v>
      </c>
      <c r="T28">
        <f t="shared" si="11"/>
        <v>4.47</v>
      </c>
    </row>
    <row r="29" spans="1:20">
      <c r="A29" t="s">
        <v>83</v>
      </c>
      <c r="B29">
        <f t="shared" si="14"/>
        <v>5</v>
      </c>
      <c r="C29">
        <v>30</v>
      </c>
      <c r="D29">
        <f t="shared" si="12"/>
        <v>5.37</v>
      </c>
      <c r="E29">
        <f t="shared" si="12"/>
        <v>5.37</v>
      </c>
      <c r="F29" s="1">
        <f>+($G$9*(30-$C$22)+$G$10*$C$22)/30</f>
        <v>7.85E-2</v>
      </c>
      <c r="G29">
        <f>+F29*'Melkepriskalender (per liter)'!$I$7</f>
        <v>628</v>
      </c>
      <c r="H29" s="7">
        <f t="shared" si="13"/>
        <v>3372.36</v>
      </c>
      <c r="I29" s="7">
        <f t="shared" si="13"/>
        <v>3372.36</v>
      </c>
      <c r="N29">
        <v>4.37</v>
      </c>
      <c r="O29">
        <v>-0.32</v>
      </c>
      <c r="P29">
        <v>-0.26</v>
      </c>
      <c r="Q29">
        <v>-0.17</v>
      </c>
      <c r="R29">
        <v>0.1</v>
      </c>
      <c r="S29">
        <f t="shared" si="10"/>
        <v>4.1499999999999995</v>
      </c>
      <c r="T29">
        <f t="shared" si="11"/>
        <v>4.21</v>
      </c>
    </row>
    <row r="30" spans="1:20">
      <c r="A30" t="s">
        <v>84</v>
      </c>
      <c r="B30">
        <f t="shared" si="14"/>
        <v>6</v>
      </c>
      <c r="C30">
        <v>30</v>
      </c>
      <c r="D30">
        <f t="shared" si="12"/>
        <v>6.77</v>
      </c>
      <c r="E30">
        <f t="shared" si="12"/>
        <v>6.47</v>
      </c>
      <c r="F30" s="1">
        <f>+($G$10*(30-$C$22)+$G$11*$C$22)/30</f>
        <v>7.0333333333333345E-2</v>
      </c>
      <c r="G30">
        <f>+F30*'Melkepriskalender (per liter)'!$I$7</f>
        <v>562.66666666666674</v>
      </c>
      <c r="H30" s="7">
        <f t="shared" si="13"/>
        <v>3809.2533333333336</v>
      </c>
      <c r="I30" s="7">
        <f t="shared" si="13"/>
        <v>3640.4533333333338</v>
      </c>
      <c r="N30">
        <v>4.37</v>
      </c>
      <c r="O30">
        <v>-0.32</v>
      </c>
      <c r="P30">
        <v>-0.26</v>
      </c>
      <c r="Q30">
        <v>-0.27</v>
      </c>
      <c r="R30">
        <v>-0.1</v>
      </c>
      <c r="S30">
        <f t="shared" si="10"/>
        <v>3.9499999999999997</v>
      </c>
      <c r="T30">
        <f t="shared" si="11"/>
        <v>4.0100000000000007</v>
      </c>
    </row>
    <row r="31" spans="1:20">
      <c r="A31" t="s">
        <v>85</v>
      </c>
      <c r="B31">
        <f t="shared" si="14"/>
        <v>7</v>
      </c>
      <c r="C31">
        <v>30</v>
      </c>
      <c r="D31">
        <f t="shared" si="12"/>
        <v>7.2799999999999994</v>
      </c>
      <c r="E31">
        <f t="shared" si="12"/>
        <v>6.93</v>
      </c>
      <c r="F31" s="1">
        <f>+($G$11*(30-$C$22)+$G$12*$C$22)/30</f>
        <v>5.9000000000000004E-2</v>
      </c>
      <c r="G31">
        <f>+F31*'Melkepriskalender (per liter)'!$I$7</f>
        <v>472.00000000000006</v>
      </c>
      <c r="H31" s="7">
        <f t="shared" si="13"/>
        <v>3436.1600000000003</v>
      </c>
      <c r="I31" s="7">
        <f t="shared" si="13"/>
        <v>3270.96</v>
      </c>
    </row>
    <row r="32" spans="1:20">
      <c r="A32" t="s">
        <v>86</v>
      </c>
      <c r="B32">
        <f t="shared" si="14"/>
        <v>8</v>
      </c>
      <c r="C32">
        <f>300-SUM(C22:C31)</f>
        <v>5</v>
      </c>
      <c r="D32">
        <f t="shared" si="12"/>
        <v>7.42</v>
      </c>
      <c r="E32">
        <f t="shared" si="12"/>
        <v>7.2299999999999995</v>
      </c>
      <c r="F32" s="1">
        <f>+($G$12*(30-$C$22)+$G$13*$C$22)/30</f>
        <v>9.5000000000000015E-3</v>
      </c>
      <c r="G32">
        <f>+F32*'Melkepriskalender (per liter)'!$I$7</f>
        <v>76.000000000000014</v>
      </c>
      <c r="H32" s="7">
        <f t="shared" si="13"/>
        <v>563.92000000000007</v>
      </c>
      <c r="I32" s="7">
        <f t="shared" si="13"/>
        <v>549.48</v>
      </c>
    </row>
    <row r="33" spans="1:12">
      <c r="J33" s="70" t="s">
        <v>70</v>
      </c>
      <c r="K33" s="70"/>
      <c r="L33" s="60"/>
    </row>
    <row r="34" spans="1:12">
      <c r="A34" t="s">
        <v>71</v>
      </c>
      <c r="J34" s="60" t="s">
        <v>1</v>
      </c>
      <c r="K34" s="60" t="s">
        <v>49</v>
      </c>
      <c r="L34" s="60"/>
    </row>
    <row r="35" spans="1:12">
      <c r="A35" s="3">
        <f>+DATE(2019,C35,$B$20)</f>
        <v>43775</v>
      </c>
      <c r="B35">
        <f>+DAY(A35)</f>
        <v>6</v>
      </c>
      <c r="C35">
        <f>+IF(C20&gt;11,1,C20+1)</f>
        <v>11</v>
      </c>
      <c r="D35" s="71" t="s">
        <v>50</v>
      </c>
      <c r="E35" s="71"/>
      <c r="H35" s="70" t="s">
        <v>72</v>
      </c>
      <c r="I35" s="70"/>
      <c r="J35" s="6">
        <f>+SUM(H37:H47)</f>
        <v>46436.013333333329</v>
      </c>
      <c r="K35" s="6">
        <f>+SUM(I37:I47)</f>
        <v>45873.68</v>
      </c>
    </row>
    <row r="36" spans="1:12">
      <c r="C36" t="s">
        <v>73</v>
      </c>
      <c r="D36" s="59" t="s">
        <v>1</v>
      </c>
      <c r="E36" s="59" t="s">
        <v>49</v>
      </c>
      <c r="F36" t="s">
        <v>74</v>
      </c>
      <c r="G36" t="s">
        <v>75</v>
      </c>
      <c r="H36" s="60" t="s">
        <v>1</v>
      </c>
      <c r="I36" s="60" t="s">
        <v>49</v>
      </c>
    </row>
    <row r="37" spans="1:12">
      <c r="A37" t="s">
        <v>76</v>
      </c>
      <c r="B37">
        <f>+C35</f>
        <v>11</v>
      </c>
      <c r="C37">
        <f>30-B35+1</f>
        <v>25</v>
      </c>
      <c r="D37">
        <f t="shared" ref="D37:D47" si="15">+SUMIF($B$3:$B$14,B37,C$3:C$14)</f>
        <v>5.7299999999999995</v>
      </c>
      <c r="E37">
        <f>+SUMIF($B$3:$B$14,$B37,D$3:D$14)</f>
        <v>5.7299999999999995</v>
      </c>
      <c r="F37" s="1">
        <f>+$G$3*$C37/30</f>
        <v>0.10250000000000001</v>
      </c>
      <c r="G37">
        <f>+F37*'Melkepriskalender (per liter)'!$I$7</f>
        <v>820.00000000000011</v>
      </c>
      <c r="H37" s="7">
        <f t="shared" ref="H37:H47" si="16">+G37*D37</f>
        <v>4698.6000000000004</v>
      </c>
      <c r="I37" s="7">
        <f>+$G37*E37</f>
        <v>4698.6000000000004</v>
      </c>
    </row>
    <row r="38" spans="1:12">
      <c r="A38" t="s">
        <v>77</v>
      </c>
      <c r="B38">
        <f>IF(B37+1&gt;12,1,B37+1)</f>
        <v>12</v>
      </c>
      <c r="C38">
        <v>30</v>
      </c>
      <c r="D38">
        <f t="shared" si="15"/>
        <v>5.7299999999999995</v>
      </c>
      <c r="E38">
        <f t="shared" ref="E38:E47" si="17">+SUMIF($B$3:$B$14,$B38,D$3:D$14)</f>
        <v>5.7299999999999995</v>
      </c>
      <c r="F38" s="1">
        <f>+($G$3*(30-$C$22)+$G$4*$C$22)/30</f>
        <v>0.13716666666666669</v>
      </c>
      <c r="G38">
        <f>+F38*'Melkepriskalender (per liter)'!$I$7</f>
        <v>1097.3333333333335</v>
      </c>
      <c r="H38" s="7">
        <f t="shared" si="16"/>
        <v>6287.72</v>
      </c>
      <c r="I38" s="7">
        <f t="shared" ref="I38:I47" si="18">+$G38*E38</f>
        <v>6287.72</v>
      </c>
    </row>
    <row r="39" spans="1:12">
      <c r="A39" t="s">
        <v>78</v>
      </c>
      <c r="B39">
        <f t="shared" ref="B39:B47" si="19">IF(B38+1&gt;12,1,B38+1)</f>
        <v>1</v>
      </c>
      <c r="C39">
        <v>30</v>
      </c>
      <c r="D39">
        <f t="shared" si="15"/>
        <v>5.29</v>
      </c>
      <c r="E39">
        <f t="shared" si="17"/>
        <v>5.27</v>
      </c>
      <c r="F39" s="1">
        <f>+($G$4*(30-$C$22)+$G$5*$C$22)/30</f>
        <v>0.13666666666666669</v>
      </c>
      <c r="G39">
        <f>+F39*'Melkepriskalender (per liter)'!$I$7</f>
        <v>1093.3333333333335</v>
      </c>
      <c r="H39" s="7">
        <f t="shared" si="16"/>
        <v>5783.7333333333345</v>
      </c>
      <c r="I39" s="7">
        <f t="shared" si="18"/>
        <v>5761.8666666666668</v>
      </c>
    </row>
    <row r="40" spans="1:12">
      <c r="A40" t="s">
        <v>79</v>
      </c>
      <c r="B40">
        <f t="shared" si="19"/>
        <v>2</v>
      </c>
      <c r="C40">
        <v>30</v>
      </c>
      <c r="D40">
        <f t="shared" si="15"/>
        <v>5.29</v>
      </c>
      <c r="E40">
        <f t="shared" si="17"/>
        <v>5.27</v>
      </c>
      <c r="F40" s="1">
        <f>+($G$5*(30-$C$22)+$G$6*$C$22)/30</f>
        <v>0.11600000000000002</v>
      </c>
      <c r="G40">
        <f>+F40*'Melkepriskalender (per liter)'!$I$7</f>
        <v>928.00000000000011</v>
      </c>
      <c r="H40" s="7">
        <f t="shared" si="16"/>
        <v>4909.1200000000008</v>
      </c>
      <c r="I40" s="7">
        <f t="shared" si="18"/>
        <v>4890.5600000000004</v>
      </c>
    </row>
    <row r="41" spans="1:12">
      <c r="A41" t="s">
        <v>80</v>
      </c>
      <c r="B41">
        <f t="shared" si="19"/>
        <v>3</v>
      </c>
      <c r="C41">
        <v>30</v>
      </c>
      <c r="D41">
        <f t="shared" si="15"/>
        <v>5.29</v>
      </c>
      <c r="E41">
        <f t="shared" si="17"/>
        <v>5.27</v>
      </c>
      <c r="F41" s="1">
        <f>+($G$6*(30-$C$22)+$G$7*$C$22)/30</f>
        <v>0.10616666666666667</v>
      </c>
      <c r="G41">
        <f>+F41*'Melkepriskalender (per liter)'!$I$7</f>
        <v>849.33333333333337</v>
      </c>
      <c r="H41" s="7">
        <f t="shared" si="16"/>
        <v>4492.9733333333334</v>
      </c>
      <c r="I41" s="7">
        <f t="shared" si="18"/>
        <v>4475.9866666666667</v>
      </c>
    </row>
    <row r="42" spans="1:12">
      <c r="A42" t="s">
        <v>81</v>
      </c>
      <c r="B42">
        <f t="shared" si="19"/>
        <v>4</v>
      </c>
      <c r="C42">
        <v>30</v>
      </c>
      <c r="D42">
        <f t="shared" si="15"/>
        <v>5.29</v>
      </c>
      <c r="E42">
        <f t="shared" si="17"/>
        <v>5.27</v>
      </c>
      <c r="F42" s="1">
        <f>+($G$7*(30-$C$22)+$G$8*$C$22)/30</f>
        <v>9.6666666666666665E-2</v>
      </c>
      <c r="G42">
        <f>+F42*'Melkepriskalender (per liter)'!$I$7</f>
        <v>773.33333333333337</v>
      </c>
      <c r="H42" s="7">
        <f t="shared" si="16"/>
        <v>4090.9333333333334</v>
      </c>
      <c r="I42" s="7">
        <f t="shared" si="18"/>
        <v>4075.4666666666667</v>
      </c>
    </row>
    <row r="43" spans="1:12">
      <c r="A43" t="s">
        <v>82</v>
      </c>
      <c r="B43">
        <f t="shared" si="19"/>
        <v>5</v>
      </c>
      <c r="C43">
        <v>30</v>
      </c>
      <c r="D43">
        <f t="shared" si="15"/>
        <v>5.37</v>
      </c>
      <c r="E43">
        <f t="shared" si="17"/>
        <v>5.37</v>
      </c>
      <c r="F43" s="1">
        <f>+($G$8*(30-$C$22)+$G$9*$C$22)/30</f>
        <v>8.7499999999999994E-2</v>
      </c>
      <c r="G43">
        <f>+F43*'Melkepriskalender (per liter)'!$I$7</f>
        <v>700</v>
      </c>
      <c r="H43" s="7">
        <f t="shared" si="16"/>
        <v>3759</v>
      </c>
      <c r="I43" s="7">
        <f t="shared" si="18"/>
        <v>3759</v>
      </c>
    </row>
    <row r="44" spans="1:12">
      <c r="A44" t="s">
        <v>83</v>
      </c>
      <c r="B44">
        <f t="shared" si="19"/>
        <v>6</v>
      </c>
      <c r="C44">
        <v>30</v>
      </c>
      <c r="D44">
        <f t="shared" si="15"/>
        <v>6.77</v>
      </c>
      <c r="E44">
        <f t="shared" si="17"/>
        <v>6.47</v>
      </c>
      <c r="F44" s="1">
        <f>+($G$9*(30-$C$22)+$G$10*$C$22)/30</f>
        <v>7.85E-2</v>
      </c>
      <c r="G44">
        <f>+F44*'Melkepriskalender (per liter)'!$I$7</f>
        <v>628</v>
      </c>
      <c r="H44" s="7">
        <f t="shared" si="16"/>
        <v>4251.5599999999995</v>
      </c>
      <c r="I44" s="7">
        <f t="shared" si="18"/>
        <v>4063.16</v>
      </c>
    </row>
    <row r="45" spans="1:12">
      <c r="A45" t="s">
        <v>84</v>
      </c>
      <c r="B45">
        <f t="shared" si="19"/>
        <v>7</v>
      </c>
      <c r="C45">
        <v>30</v>
      </c>
      <c r="D45">
        <f t="shared" si="15"/>
        <v>7.2799999999999994</v>
      </c>
      <c r="E45">
        <f t="shared" si="17"/>
        <v>6.93</v>
      </c>
      <c r="F45" s="1">
        <f>+($G$10*(30-$C$22)+$G$11*$C$22)/30</f>
        <v>7.0333333333333345E-2</v>
      </c>
      <c r="G45">
        <f>+F45*'Melkepriskalender (per liter)'!$I$7</f>
        <v>562.66666666666674</v>
      </c>
      <c r="H45" s="7">
        <f t="shared" si="16"/>
        <v>4096.2133333333331</v>
      </c>
      <c r="I45" s="7">
        <f t="shared" si="18"/>
        <v>3899.28</v>
      </c>
    </row>
    <row r="46" spans="1:12">
      <c r="A46" t="s">
        <v>85</v>
      </c>
      <c r="B46">
        <f t="shared" si="19"/>
        <v>8</v>
      </c>
      <c r="C46">
        <v>30</v>
      </c>
      <c r="D46">
        <f t="shared" si="15"/>
        <v>7.42</v>
      </c>
      <c r="E46">
        <f t="shared" si="17"/>
        <v>7.2299999999999995</v>
      </c>
      <c r="F46" s="1">
        <f>+($G$11*(30-$C$22)+$G$12*$C$22)/30</f>
        <v>5.9000000000000004E-2</v>
      </c>
      <c r="G46">
        <f>+F46*'Melkepriskalender (per liter)'!$I$7</f>
        <v>472.00000000000006</v>
      </c>
      <c r="H46" s="7">
        <f t="shared" si="16"/>
        <v>3502.2400000000002</v>
      </c>
      <c r="I46" s="7">
        <f t="shared" si="18"/>
        <v>3412.5600000000004</v>
      </c>
    </row>
    <row r="47" spans="1:12">
      <c r="A47" t="s">
        <v>86</v>
      </c>
      <c r="B47">
        <f t="shared" si="19"/>
        <v>9</v>
      </c>
      <c r="C47">
        <f>300-SUM(C37:C46)</f>
        <v>5</v>
      </c>
      <c r="D47">
        <f t="shared" si="15"/>
        <v>7.42</v>
      </c>
      <c r="E47">
        <f t="shared" si="17"/>
        <v>7.2299999999999995</v>
      </c>
      <c r="F47" s="1">
        <f>+($G$12*(30-$C$22)+$G$13*$C$22)/30</f>
        <v>9.5000000000000015E-3</v>
      </c>
      <c r="G47">
        <f>+F47*'Melkepriskalender (per liter)'!$I$7</f>
        <v>76.000000000000014</v>
      </c>
      <c r="H47" s="7">
        <f t="shared" si="16"/>
        <v>563.92000000000007</v>
      </c>
      <c r="I47" s="7">
        <f t="shared" si="18"/>
        <v>549.48</v>
      </c>
    </row>
    <row r="48" spans="1:12">
      <c r="J48" s="70" t="s">
        <v>70</v>
      </c>
      <c r="K48" s="70"/>
      <c r="L48" s="60"/>
    </row>
    <row r="49" spans="1:12">
      <c r="A49" t="s">
        <v>71</v>
      </c>
      <c r="J49" s="60" t="s">
        <v>1</v>
      </c>
      <c r="K49" s="60" t="s">
        <v>49</v>
      </c>
      <c r="L49" s="60"/>
    </row>
    <row r="50" spans="1:12">
      <c r="A50" s="3">
        <f>+DATE(2019,C50,$B$20)</f>
        <v>43805</v>
      </c>
      <c r="B50">
        <f>+DAY(A50)</f>
        <v>6</v>
      </c>
      <c r="C50">
        <f>+IF(C35&gt;11,1,C35+1)</f>
        <v>12</v>
      </c>
      <c r="D50" s="71" t="s">
        <v>50</v>
      </c>
      <c r="E50" s="71"/>
      <c r="H50" s="70" t="s">
        <v>72</v>
      </c>
      <c r="I50" s="70"/>
      <c r="J50" s="6">
        <f>+SUM(H52:H62)</f>
        <v>47283.146666666667</v>
      </c>
      <c r="K50" s="6">
        <f>+SUM(I52:I62)</f>
        <v>46582.720000000001</v>
      </c>
    </row>
    <row r="51" spans="1:12">
      <c r="C51" t="s">
        <v>73</v>
      </c>
      <c r="D51" s="59" t="s">
        <v>1</v>
      </c>
      <c r="E51" s="59" t="s">
        <v>49</v>
      </c>
      <c r="F51" t="s">
        <v>74</v>
      </c>
      <c r="G51" t="s">
        <v>75</v>
      </c>
      <c r="H51" s="60" t="s">
        <v>1</v>
      </c>
      <c r="I51" s="60" t="s">
        <v>49</v>
      </c>
    </row>
    <row r="52" spans="1:12">
      <c r="A52" t="s">
        <v>76</v>
      </c>
      <c r="B52">
        <f>+C50</f>
        <v>12</v>
      </c>
      <c r="C52">
        <f>30-B50+1</f>
        <v>25</v>
      </c>
      <c r="D52">
        <f t="shared" ref="D52:D62" si="20">+SUMIF($B$3:$B$14,B52,C$3:C$14)</f>
        <v>5.7299999999999995</v>
      </c>
      <c r="E52">
        <f>+SUMIF($B$3:$B$14,$B52,D$3:D$14)</f>
        <v>5.7299999999999995</v>
      </c>
      <c r="F52" s="1">
        <f>+$G$3*$C52/30</f>
        <v>0.10250000000000001</v>
      </c>
      <c r="G52">
        <f>+F52*'Melkepriskalender (per liter)'!$I$7</f>
        <v>820.00000000000011</v>
      </c>
      <c r="H52" s="7">
        <f t="shared" ref="H52:H62" si="21">+G52*D52</f>
        <v>4698.6000000000004</v>
      </c>
      <c r="I52" s="7">
        <f>+$G52*E52</f>
        <v>4698.6000000000004</v>
      </c>
    </row>
    <row r="53" spans="1:12">
      <c r="A53" t="s">
        <v>77</v>
      </c>
      <c r="B53">
        <f t="shared" ref="B53:B62" si="22">IF(B52+1&gt;12,1,B52+1)</f>
        <v>1</v>
      </c>
      <c r="C53">
        <v>30</v>
      </c>
      <c r="D53">
        <f t="shared" si="20"/>
        <v>5.29</v>
      </c>
      <c r="E53">
        <f t="shared" ref="E53:E62" si="23">+SUMIF($B$3:$B$14,$B53,D$3:D$14)</f>
        <v>5.27</v>
      </c>
      <c r="F53" s="1">
        <f>+($G$3*(30-$C$22)+$G$4*$C$22)/30</f>
        <v>0.13716666666666669</v>
      </c>
      <c r="G53">
        <f>+F53*'Melkepriskalender (per liter)'!$I$7</f>
        <v>1097.3333333333335</v>
      </c>
      <c r="H53" s="7">
        <f t="shared" si="21"/>
        <v>5804.8933333333343</v>
      </c>
      <c r="I53" s="7">
        <f t="shared" ref="I53:I62" si="24">+$G53*E53</f>
        <v>5782.9466666666667</v>
      </c>
    </row>
    <row r="54" spans="1:12">
      <c r="A54" t="s">
        <v>78</v>
      </c>
      <c r="B54">
        <f t="shared" si="22"/>
        <v>2</v>
      </c>
      <c r="C54">
        <v>30</v>
      </c>
      <c r="D54">
        <f t="shared" si="20"/>
        <v>5.29</v>
      </c>
      <c r="E54">
        <f t="shared" si="23"/>
        <v>5.27</v>
      </c>
      <c r="F54" s="1">
        <f>+($G$4*(30-$C$22)+$G$5*$C$22)/30</f>
        <v>0.13666666666666669</v>
      </c>
      <c r="G54">
        <f>+F54*'Melkepriskalender (per liter)'!$I$7</f>
        <v>1093.3333333333335</v>
      </c>
      <c r="H54" s="7">
        <f t="shared" si="21"/>
        <v>5783.7333333333345</v>
      </c>
      <c r="I54" s="7">
        <f t="shared" si="24"/>
        <v>5761.8666666666668</v>
      </c>
    </row>
    <row r="55" spans="1:12">
      <c r="A55" t="s">
        <v>79</v>
      </c>
      <c r="B55">
        <f t="shared" si="22"/>
        <v>3</v>
      </c>
      <c r="C55">
        <v>30</v>
      </c>
      <c r="D55">
        <f t="shared" si="20"/>
        <v>5.29</v>
      </c>
      <c r="E55">
        <f t="shared" si="23"/>
        <v>5.27</v>
      </c>
      <c r="F55" s="1">
        <f>+($G$5*(30-$C$22)+$G$6*$C$22)/30</f>
        <v>0.11600000000000002</v>
      </c>
      <c r="G55">
        <f>+F55*'Melkepriskalender (per liter)'!$I$7</f>
        <v>928.00000000000011</v>
      </c>
      <c r="H55" s="7">
        <f t="shared" si="21"/>
        <v>4909.1200000000008</v>
      </c>
      <c r="I55" s="7">
        <f t="shared" si="24"/>
        <v>4890.5600000000004</v>
      </c>
    </row>
    <row r="56" spans="1:12">
      <c r="A56" t="s">
        <v>80</v>
      </c>
      <c r="B56">
        <f t="shared" si="22"/>
        <v>4</v>
      </c>
      <c r="C56">
        <v>30</v>
      </c>
      <c r="D56">
        <f t="shared" si="20"/>
        <v>5.29</v>
      </c>
      <c r="E56">
        <f t="shared" si="23"/>
        <v>5.27</v>
      </c>
      <c r="F56" s="1">
        <f>+($G$6*(30-$C$22)+$G$7*$C$22)/30</f>
        <v>0.10616666666666667</v>
      </c>
      <c r="G56">
        <f>+F56*'Melkepriskalender (per liter)'!$I$7</f>
        <v>849.33333333333337</v>
      </c>
      <c r="H56" s="7">
        <f t="shared" si="21"/>
        <v>4492.9733333333334</v>
      </c>
      <c r="I56" s="7">
        <f t="shared" si="24"/>
        <v>4475.9866666666667</v>
      </c>
    </row>
    <row r="57" spans="1:12">
      <c r="A57" t="s">
        <v>81</v>
      </c>
      <c r="B57">
        <f t="shared" si="22"/>
        <v>5</v>
      </c>
      <c r="C57">
        <v>30</v>
      </c>
      <c r="D57">
        <f t="shared" si="20"/>
        <v>5.37</v>
      </c>
      <c r="E57">
        <f t="shared" si="23"/>
        <v>5.37</v>
      </c>
      <c r="F57" s="1">
        <f>+($G$7*(30-$C$22)+$G$8*$C$22)/30</f>
        <v>9.6666666666666665E-2</v>
      </c>
      <c r="G57">
        <f>+F57*'Melkepriskalender (per liter)'!$I$7</f>
        <v>773.33333333333337</v>
      </c>
      <c r="H57" s="7">
        <f t="shared" si="21"/>
        <v>4152.8</v>
      </c>
      <c r="I57" s="7">
        <f t="shared" si="24"/>
        <v>4152.8</v>
      </c>
    </row>
    <row r="58" spans="1:12">
      <c r="A58" t="s">
        <v>82</v>
      </c>
      <c r="B58">
        <f t="shared" si="22"/>
        <v>6</v>
      </c>
      <c r="C58">
        <v>30</v>
      </c>
      <c r="D58">
        <f t="shared" si="20"/>
        <v>6.77</v>
      </c>
      <c r="E58">
        <f t="shared" si="23"/>
        <v>6.47</v>
      </c>
      <c r="F58" s="1">
        <f>+($G$8*(30-$C$22)+$G$9*$C$22)/30</f>
        <v>8.7499999999999994E-2</v>
      </c>
      <c r="G58">
        <f>+F58*'Melkepriskalender (per liter)'!$I$7</f>
        <v>700</v>
      </c>
      <c r="H58" s="7">
        <f t="shared" si="21"/>
        <v>4739</v>
      </c>
      <c r="I58" s="7">
        <f t="shared" si="24"/>
        <v>4529</v>
      </c>
    </row>
    <row r="59" spans="1:12">
      <c r="A59" t="s">
        <v>83</v>
      </c>
      <c r="B59">
        <f t="shared" si="22"/>
        <v>7</v>
      </c>
      <c r="C59">
        <v>30</v>
      </c>
      <c r="D59">
        <f t="shared" si="20"/>
        <v>7.2799999999999994</v>
      </c>
      <c r="E59">
        <f t="shared" si="23"/>
        <v>6.93</v>
      </c>
      <c r="F59" s="1">
        <f>+($G$9*(30-$C$22)+$G$10*$C$22)/30</f>
        <v>7.85E-2</v>
      </c>
      <c r="G59">
        <f>+F59*'Melkepriskalender (per liter)'!$I$7</f>
        <v>628</v>
      </c>
      <c r="H59" s="7">
        <f t="shared" si="21"/>
        <v>4571.8399999999992</v>
      </c>
      <c r="I59" s="7">
        <f t="shared" si="24"/>
        <v>4352.04</v>
      </c>
    </row>
    <row r="60" spans="1:12">
      <c r="A60" t="s">
        <v>84</v>
      </c>
      <c r="B60">
        <f t="shared" si="22"/>
        <v>8</v>
      </c>
      <c r="C60">
        <v>30</v>
      </c>
      <c r="D60">
        <f t="shared" si="20"/>
        <v>7.42</v>
      </c>
      <c r="E60">
        <f t="shared" si="23"/>
        <v>7.2299999999999995</v>
      </c>
      <c r="F60" s="1">
        <f>+($G$10*(30-$C$22)+$G$11*$C$22)/30</f>
        <v>7.0333333333333345E-2</v>
      </c>
      <c r="G60">
        <f>+F60*'Melkepriskalender (per liter)'!$I$7</f>
        <v>562.66666666666674</v>
      </c>
      <c r="H60" s="7">
        <f t="shared" si="21"/>
        <v>4174.9866666666676</v>
      </c>
      <c r="I60" s="7">
        <f t="shared" si="24"/>
        <v>4068.0800000000004</v>
      </c>
    </row>
    <row r="61" spans="1:12">
      <c r="A61" t="s">
        <v>85</v>
      </c>
      <c r="B61">
        <f t="shared" si="22"/>
        <v>9</v>
      </c>
      <c r="C61">
        <v>30</v>
      </c>
      <c r="D61">
        <f t="shared" si="20"/>
        <v>7.42</v>
      </c>
      <c r="E61">
        <f t="shared" si="23"/>
        <v>7.2299999999999995</v>
      </c>
      <c r="F61" s="1">
        <f>+($G$11*(30-$C$22)+$G$12*$C$22)/30</f>
        <v>5.9000000000000004E-2</v>
      </c>
      <c r="G61">
        <f>+F61*'Melkepriskalender (per liter)'!$I$7</f>
        <v>472.00000000000006</v>
      </c>
      <c r="H61" s="7">
        <f t="shared" si="21"/>
        <v>3502.2400000000002</v>
      </c>
      <c r="I61" s="7">
        <f t="shared" si="24"/>
        <v>3412.5600000000004</v>
      </c>
    </row>
    <row r="62" spans="1:12">
      <c r="A62" t="s">
        <v>86</v>
      </c>
      <c r="B62">
        <f t="shared" si="22"/>
        <v>10</v>
      </c>
      <c r="C62">
        <f>300-SUM(C52:C61)</f>
        <v>5</v>
      </c>
      <c r="D62">
        <f t="shared" si="20"/>
        <v>5.96</v>
      </c>
      <c r="E62">
        <f t="shared" si="23"/>
        <v>6.0299999999999994</v>
      </c>
      <c r="F62" s="1">
        <f>+($G$12*(30-$C$22)+$G$13*$C$22)/30</f>
        <v>9.5000000000000015E-3</v>
      </c>
      <c r="G62">
        <f>+F62*'Melkepriskalender (per liter)'!$I$7</f>
        <v>76.000000000000014</v>
      </c>
      <c r="H62" s="7">
        <f t="shared" si="21"/>
        <v>452.96000000000009</v>
      </c>
      <c r="I62" s="7">
        <f t="shared" si="24"/>
        <v>458.28000000000003</v>
      </c>
    </row>
    <row r="63" spans="1:12">
      <c r="J63" s="70" t="s">
        <v>70</v>
      </c>
      <c r="K63" s="70"/>
      <c r="L63" s="60"/>
    </row>
    <row r="64" spans="1:12">
      <c r="A64" t="s">
        <v>71</v>
      </c>
      <c r="J64" s="60" t="s">
        <v>1</v>
      </c>
      <c r="K64" s="60" t="s">
        <v>49</v>
      </c>
      <c r="L64" s="60"/>
    </row>
    <row r="65" spans="1:12">
      <c r="A65" s="3">
        <f>+DATE(2019,C65,$B$20)</f>
        <v>43471</v>
      </c>
      <c r="B65">
        <f>+DAY(A65)</f>
        <v>6</v>
      </c>
      <c r="C65">
        <f>+IF(C50&gt;11,1,C50+1)</f>
        <v>1</v>
      </c>
      <c r="D65" s="71" t="s">
        <v>50</v>
      </c>
      <c r="E65" s="71"/>
      <c r="H65" s="70" t="s">
        <v>72</v>
      </c>
      <c r="I65" s="70"/>
      <c r="J65" s="6">
        <f>+SUM(H67:H77)</f>
        <v>47811.280000000013</v>
      </c>
      <c r="K65" s="6">
        <f>+SUM(I67:I77)</f>
        <v>47062.320000000014</v>
      </c>
    </row>
    <row r="66" spans="1:12">
      <c r="C66" t="s">
        <v>73</v>
      </c>
      <c r="D66" s="59" t="s">
        <v>1</v>
      </c>
      <c r="E66" s="59" t="s">
        <v>49</v>
      </c>
      <c r="F66" t="s">
        <v>74</v>
      </c>
      <c r="G66" t="s">
        <v>75</v>
      </c>
      <c r="H66" s="60" t="s">
        <v>1</v>
      </c>
      <c r="I66" s="60" t="s">
        <v>49</v>
      </c>
    </row>
    <row r="67" spans="1:12">
      <c r="A67" t="s">
        <v>76</v>
      </c>
      <c r="B67">
        <f>+C65</f>
        <v>1</v>
      </c>
      <c r="C67">
        <f>30-B65+1</f>
        <v>25</v>
      </c>
      <c r="D67">
        <f t="shared" ref="D67:D77" si="25">+SUMIF($B$3:$B$14,B67,C$3:C$14)</f>
        <v>5.29</v>
      </c>
      <c r="E67">
        <f>+SUMIF($B$3:$B$14,$B67,D$3:D$14)</f>
        <v>5.27</v>
      </c>
      <c r="F67" s="1">
        <f>+$G$3*$C67/30</f>
        <v>0.10250000000000001</v>
      </c>
      <c r="G67">
        <f>+F67*'Melkepriskalender (per liter)'!$I$7</f>
        <v>820.00000000000011</v>
      </c>
      <c r="H67" s="7">
        <f t="shared" ref="H67:H77" si="26">+G67*D67</f>
        <v>4337.8</v>
      </c>
      <c r="I67" s="7">
        <f>+$G67*E67</f>
        <v>4321.4000000000005</v>
      </c>
    </row>
    <row r="68" spans="1:12">
      <c r="A68" t="s">
        <v>77</v>
      </c>
      <c r="B68">
        <f t="shared" ref="B68:B77" si="27">IF(B67+1&gt;12,1,B67+1)</f>
        <v>2</v>
      </c>
      <c r="C68">
        <v>30</v>
      </c>
      <c r="D68">
        <f t="shared" si="25"/>
        <v>5.29</v>
      </c>
      <c r="E68">
        <f t="shared" ref="E68:E77" si="28">+SUMIF($B$3:$B$14,$B68,D$3:D$14)</f>
        <v>5.27</v>
      </c>
      <c r="F68" s="1">
        <f>+($G$3*(30-$C$22)+$G$4*$C$22)/30</f>
        <v>0.13716666666666669</v>
      </c>
      <c r="G68">
        <f>+F68*'Melkepriskalender (per liter)'!$I$7</f>
        <v>1097.3333333333335</v>
      </c>
      <c r="H68" s="7">
        <f t="shared" si="26"/>
        <v>5804.8933333333343</v>
      </c>
      <c r="I68" s="7">
        <f t="shared" ref="I68:I77" si="29">+$G68*E68</f>
        <v>5782.9466666666667</v>
      </c>
    </row>
    <row r="69" spans="1:12">
      <c r="A69" t="s">
        <v>78</v>
      </c>
      <c r="B69">
        <f t="shared" si="27"/>
        <v>3</v>
      </c>
      <c r="C69">
        <v>30</v>
      </c>
      <c r="D69">
        <f t="shared" si="25"/>
        <v>5.29</v>
      </c>
      <c r="E69">
        <f t="shared" si="28"/>
        <v>5.27</v>
      </c>
      <c r="F69" s="1">
        <f>+($G$4*(30-$C$22)+$G$5*$C$22)/30</f>
        <v>0.13666666666666669</v>
      </c>
      <c r="G69">
        <f>+F69*'Melkepriskalender (per liter)'!$I$7</f>
        <v>1093.3333333333335</v>
      </c>
      <c r="H69" s="7">
        <f t="shared" si="26"/>
        <v>5783.7333333333345</v>
      </c>
      <c r="I69" s="7">
        <f t="shared" si="29"/>
        <v>5761.8666666666668</v>
      </c>
    </row>
    <row r="70" spans="1:12">
      <c r="A70" t="s">
        <v>79</v>
      </c>
      <c r="B70">
        <f t="shared" si="27"/>
        <v>4</v>
      </c>
      <c r="C70">
        <v>30</v>
      </c>
      <c r="D70">
        <f t="shared" si="25"/>
        <v>5.29</v>
      </c>
      <c r="E70">
        <f t="shared" si="28"/>
        <v>5.27</v>
      </c>
      <c r="F70" s="1">
        <f>+($G$5*(30-$C$22)+$G$6*$C$22)/30</f>
        <v>0.11600000000000002</v>
      </c>
      <c r="G70">
        <f>+F70*'Melkepriskalender (per liter)'!$I$7</f>
        <v>928.00000000000011</v>
      </c>
      <c r="H70" s="7">
        <f t="shared" si="26"/>
        <v>4909.1200000000008</v>
      </c>
      <c r="I70" s="7">
        <f t="shared" si="29"/>
        <v>4890.5600000000004</v>
      </c>
    </row>
    <row r="71" spans="1:12">
      <c r="A71" t="s">
        <v>80</v>
      </c>
      <c r="B71">
        <f t="shared" si="27"/>
        <v>5</v>
      </c>
      <c r="C71">
        <v>30</v>
      </c>
      <c r="D71">
        <f t="shared" si="25"/>
        <v>5.37</v>
      </c>
      <c r="E71">
        <f t="shared" si="28"/>
        <v>5.37</v>
      </c>
      <c r="F71" s="1">
        <f>+($G$6*(30-$C$22)+$G$7*$C$22)/30</f>
        <v>0.10616666666666667</v>
      </c>
      <c r="G71">
        <f>+F71*'Melkepriskalender (per liter)'!$I$7</f>
        <v>849.33333333333337</v>
      </c>
      <c r="H71" s="7">
        <f t="shared" si="26"/>
        <v>4560.92</v>
      </c>
      <c r="I71" s="7">
        <f t="shared" si="29"/>
        <v>4560.92</v>
      </c>
    </row>
    <row r="72" spans="1:12">
      <c r="A72" t="s">
        <v>81</v>
      </c>
      <c r="B72">
        <f t="shared" si="27"/>
        <v>6</v>
      </c>
      <c r="C72">
        <v>30</v>
      </c>
      <c r="D72">
        <f t="shared" si="25"/>
        <v>6.77</v>
      </c>
      <c r="E72">
        <f t="shared" si="28"/>
        <v>6.47</v>
      </c>
      <c r="F72" s="1">
        <f>+($G$7*(30-$C$22)+$G$8*$C$22)/30</f>
        <v>9.6666666666666665E-2</v>
      </c>
      <c r="G72">
        <f>+F72*'Melkepriskalender (per liter)'!$I$7</f>
        <v>773.33333333333337</v>
      </c>
      <c r="H72" s="7">
        <f t="shared" si="26"/>
        <v>5235.4666666666662</v>
      </c>
      <c r="I72" s="7">
        <f t="shared" si="29"/>
        <v>5003.4666666666672</v>
      </c>
    </row>
    <row r="73" spans="1:12">
      <c r="A73" t="s">
        <v>82</v>
      </c>
      <c r="B73">
        <f t="shared" si="27"/>
        <v>7</v>
      </c>
      <c r="C73">
        <v>30</v>
      </c>
      <c r="D73">
        <f t="shared" si="25"/>
        <v>7.2799999999999994</v>
      </c>
      <c r="E73">
        <f t="shared" si="28"/>
        <v>6.93</v>
      </c>
      <c r="F73" s="1">
        <f>+($G$8*(30-$C$22)+$G$9*$C$22)/30</f>
        <v>8.7499999999999994E-2</v>
      </c>
      <c r="G73">
        <f>+F73*'Melkepriskalender (per liter)'!$I$7</f>
        <v>700</v>
      </c>
      <c r="H73" s="7">
        <f t="shared" si="26"/>
        <v>5096</v>
      </c>
      <c r="I73" s="7">
        <f t="shared" si="29"/>
        <v>4851</v>
      </c>
    </row>
    <row r="74" spans="1:12">
      <c r="A74" t="s">
        <v>83</v>
      </c>
      <c r="B74">
        <f t="shared" si="27"/>
        <v>8</v>
      </c>
      <c r="C74">
        <v>30</v>
      </c>
      <c r="D74">
        <f t="shared" si="25"/>
        <v>7.42</v>
      </c>
      <c r="E74">
        <f t="shared" si="28"/>
        <v>7.2299999999999995</v>
      </c>
      <c r="F74" s="1">
        <f>+($G$9*(30-$C$22)+$G$10*$C$22)/30</f>
        <v>7.85E-2</v>
      </c>
      <c r="G74">
        <f>+F74*'Melkepriskalender (per liter)'!$I$7</f>
        <v>628</v>
      </c>
      <c r="H74" s="7">
        <f t="shared" si="26"/>
        <v>4659.76</v>
      </c>
      <c r="I74" s="7">
        <f t="shared" si="29"/>
        <v>4540.4399999999996</v>
      </c>
    </row>
    <row r="75" spans="1:12">
      <c r="A75" t="s">
        <v>84</v>
      </c>
      <c r="B75">
        <f t="shared" si="27"/>
        <v>9</v>
      </c>
      <c r="C75">
        <v>30</v>
      </c>
      <c r="D75">
        <f t="shared" si="25"/>
        <v>7.42</v>
      </c>
      <c r="E75">
        <f t="shared" si="28"/>
        <v>7.2299999999999995</v>
      </c>
      <c r="F75" s="1">
        <f>+($G$10*(30-$C$22)+$G$11*$C$22)/30</f>
        <v>7.0333333333333345E-2</v>
      </c>
      <c r="G75">
        <f>+F75*'Melkepriskalender (per liter)'!$I$7</f>
        <v>562.66666666666674</v>
      </c>
      <c r="H75" s="7">
        <f t="shared" si="26"/>
        <v>4174.9866666666676</v>
      </c>
      <c r="I75" s="7">
        <f t="shared" si="29"/>
        <v>4068.0800000000004</v>
      </c>
    </row>
    <row r="76" spans="1:12">
      <c r="A76" t="s">
        <v>85</v>
      </c>
      <c r="B76">
        <f t="shared" si="27"/>
        <v>10</v>
      </c>
      <c r="C76">
        <v>30</v>
      </c>
      <c r="D76">
        <f t="shared" si="25"/>
        <v>5.96</v>
      </c>
      <c r="E76">
        <f t="shared" si="28"/>
        <v>6.0299999999999994</v>
      </c>
      <c r="F76" s="1">
        <f>+($G$11*(30-$C$22)+$G$12*$C$22)/30</f>
        <v>5.9000000000000004E-2</v>
      </c>
      <c r="G76">
        <f>+F76*'Melkepriskalender (per liter)'!$I$7</f>
        <v>472.00000000000006</v>
      </c>
      <c r="H76" s="7">
        <f t="shared" si="26"/>
        <v>2813.1200000000003</v>
      </c>
      <c r="I76" s="7">
        <f t="shared" si="29"/>
        <v>2846.16</v>
      </c>
    </row>
    <row r="77" spans="1:12">
      <c r="A77" t="s">
        <v>86</v>
      </c>
      <c r="B77">
        <f t="shared" si="27"/>
        <v>11</v>
      </c>
      <c r="C77">
        <f>300-SUM(C67:C76)</f>
        <v>5</v>
      </c>
      <c r="D77">
        <f t="shared" si="25"/>
        <v>5.7299999999999995</v>
      </c>
      <c r="E77">
        <f t="shared" si="28"/>
        <v>5.7299999999999995</v>
      </c>
      <c r="F77" s="1">
        <f>+($G$12*(30-$C$22)+$G$13*$C$22)/30</f>
        <v>9.5000000000000015E-3</v>
      </c>
      <c r="G77">
        <f>+F77*'Melkepriskalender (per liter)'!$I$7</f>
        <v>76.000000000000014</v>
      </c>
      <c r="H77" s="7">
        <f t="shared" si="26"/>
        <v>435.48</v>
      </c>
      <c r="I77" s="7">
        <f t="shared" si="29"/>
        <v>435.48</v>
      </c>
    </row>
    <row r="78" spans="1:12">
      <c r="J78" s="70" t="s">
        <v>70</v>
      </c>
      <c r="K78" s="70"/>
      <c r="L78" s="60"/>
    </row>
    <row r="79" spans="1:12">
      <c r="A79" t="s">
        <v>71</v>
      </c>
      <c r="J79" s="60" t="s">
        <v>1</v>
      </c>
      <c r="K79" s="60" t="s">
        <v>49</v>
      </c>
      <c r="L79" s="60"/>
    </row>
    <row r="80" spans="1:12">
      <c r="A80" s="3">
        <f>+DATE(2019,C80,$B$20)</f>
        <v>43502</v>
      </c>
      <c r="B80">
        <f>+DAY(A80)</f>
        <v>6</v>
      </c>
      <c r="C80">
        <f>+IF(C65&gt;11,1,C65+1)</f>
        <v>2</v>
      </c>
      <c r="D80" s="71" t="s">
        <v>50</v>
      </c>
      <c r="E80" s="71"/>
      <c r="H80" s="70" t="s">
        <v>72</v>
      </c>
      <c r="I80" s="70"/>
      <c r="J80" s="6">
        <f>+SUM(H82:H92)</f>
        <v>48636.933333333342</v>
      </c>
      <c r="K80" s="6">
        <f>+SUM(I82:I92)</f>
        <v>47838.320000000007</v>
      </c>
    </row>
    <row r="81" spans="1:12">
      <c r="C81" t="s">
        <v>73</v>
      </c>
      <c r="D81" s="59" t="s">
        <v>1</v>
      </c>
      <c r="E81" s="59" t="s">
        <v>49</v>
      </c>
      <c r="F81" t="s">
        <v>74</v>
      </c>
      <c r="G81" t="s">
        <v>75</v>
      </c>
      <c r="H81" s="60" t="s">
        <v>1</v>
      </c>
      <c r="I81" s="60" t="s">
        <v>49</v>
      </c>
    </row>
    <row r="82" spans="1:12">
      <c r="A82" t="s">
        <v>76</v>
      </c>
      <c r="B82">
        <f>+C80</f>
        <v>2</v>
      </c>
      <c r="C82">
        <f>30-B80+1</f>
        <v>25</v>
      </c>
      <c r="D82">
        <f t="shared" ref="D82:D92" si="30">+SUMIF($B$3:$B$14,B82,C$3:C$14)</f>
        <v>5.29</v>
      </c>
      <c r="E82">
        <f>+SUMIF($B$3:$B$14,$B82,D$3:D$14)</f>
        <v>5.27</v>
      </c>
      <c r="F82" s="1">
        <f>+$G$3*$C82/30</f>
        <v>0.10250000000000001</v>
      </c>
      <c r="G82">
        <f>+F82*'Melkepriskalender (per liter)'!$I$7</f>
        <v>820.00000000000011</v>
      </c>
      <c r="H82" s="7">
        <f t="shared" ref="H82:H92" si="31">+G82*D82</f>
        <v>4337.8</v>
      </c>
      <c r="I82" s="7">
        <f>+$G82*E82</f>
        <v>4321.4000000000005</v>
      </c>
    </row>
    <row r="83" spans="1:12">
      <c r="A83" t="s">
        <v>77</v>
      </c>
      <c r="B83">
        <f t="shared" ref="B83:B92" si="32">IF(B82+1&gt;12,1,B82+1)</f>
        <v>3</v>
      </c>
      <c r="C83">
        <v>30</v>
      </c>
      <c r="D83">
        <f t="shared" si="30"/>
        <v>5.29</v>
      </c>
      <c r="E83">
        <f t="shared" ref="E83:E92" si="33">+SUMIF($B$3:$B$14,$B83,D$3:D$14)</f>
        <v>5.27</v>
      </c>
      <c r="F83" s="1">
        <f>+($G$3*(30-$C$22)+$G$4*$C$22)/30</f>
        <v>0.13716666666666669</v>
      </c>
      <c r="G83">
        <f>+F83*'Melkepriskalender (per liter)'!$I$7</f>
        <v>1097.3333333333335</v>
      </c>
      <c r="H83" s="7">
        <f t="shared" si="31"/>
        <v>5804.8933333333343</v>
      </c>
      <c r="I83" s="7">
        <f t="shared" ref="I83:I92" si="34">+$G83*E83</f>
        <v>5782.9466666666667</v>
      </c>
    </row>
    <row r="84" spans="1:12">
      <c r="A84" t="s">
        <v>78</v>
      </c>
      <c r="B84">
        <f t="shared" si="32"/>
        <v>4</v>
      </c>
      <c r="C84">
        <v>30</v>
      </c>
      <c r="D84">
        <f t="shared" si="30"/>
        <v>5.29</v>
      </c>
      <c r="E84">
        <f t="shared" si="33"/>
        <v>5.27</v>
      </c>
      <c r="F84" s="1">
        <f>+($G$4*(30-$C$22)+$G$5*$C$22)/30</f>
        <v>0.13666666666666669</v>
      </c>
      <c r="G84">
        <f>+F84*'Melkepriskalender (per liter)'!$I$7</f>
        <v>1093.3333333333335</v>
      </c>
      <c r="H84" s="7">
        <f t="shared" si="31"/>
        <v>5783.7333333333345</v>
      </c>
      <c r="I84" s="7">
        <f t="shared" si="34"/>
        <v>5761.8666666666668</v>
      </c>
    </row>
    <row r="85" spans="1:12">
      <c r="A85" t="s">
        <v>79</v>
      </c>
      <c r="B85">
        <f t="shared" si="32"/>
        <v>5</v>
      </c>
      <c r="C85">
        <v>30</v>
      </c>
      <c r="D85">
        <f t="shared" si="30"/>
        <v>5.37</v>
      </c>
      <c r="E85">
        <f t="shared" si="33"/>
        <v>5.37</v>
      </c>
      <c r="F85" s="1">
        <f>+($G$5*(30-$C$22)+$G$6*$C$22)/30</f>
        <v>0.11600000000000002</v>
      </c>
      <c r="G85">
        <f>+F85*'Melkepriskalender (per liter)'!$I$7</f>
        <v>928.00000000000011</v>
      </c>
      <c r="H85" s="7">
        <f t="shared" si="31"/>
        <v>4983.3600000000006</v>
      </c>
      <c r="I85" s="7">
        <f t="shared" si="34"/>
        <v>4983.3600000000006</v>
      </c>
    </row>
    <row r="86" spans="1:12">
      <c r="A86" t="s">
        <v>80</v>
      </c>
      <c r="B86">
        <f t="shared" si="32"/>
        <v>6</v>
      </c>
      <c r="C86">
        <v>30</v>
      </c>
      <c r="D86">
        <f t="shared" si="30"/>
        <v>6.77</v>
      </c>
      <c r="E86">
        <f t="shared" si="33"/>
        <v>6.47</v>
      </c>
      <c r="F86" s="1">
        <f>+($G$6*(30-$C$22)+$G$7*$C$22)/30</f>
        <v>0.10616666666666667</v>
      </c>
      <c r="G86">
        <f>+F86*'Melkepriskalender (per liter)'!$I$7</f>
        <v>849.33333333333337</v>
      </c>
      <c r="H86" s="7">
        <f t="shared" si="31"/>
        <v>5749.9866666666667</v>
      </c>
      <c r="I86" s="7">
        <f t="shared" si="34"/>
        <v>5495.1866666666665</v>
      </c>
    </row>
    <row r="87" spans="1:12">
      <c r="A87" t="s">
        <v>81</v>
      </c>
      <c r="B87">
        <f t="shared" si="32"/>
        <v>7</v>
      </c>
      <c r="C87">
        <v>30</v>
      </c>
      <c r="D87">
        <f t="shared" si="30"/>
        <v>7.2799999999999994</v>
      </c>
      <c r="E87">
        <f t="shared" si="33"/>
        <v>6.93</v>
      </c>
      <c r="F87" s="1">
        <f>+($G$7*(30-$C$22)+$G$8*$C$22)/30</f>
        <v>9.6666666666666665E-2</v>
      </c>
      <c r="G87">
        <f>+F87*'Melkepriskalender (per liter)'!$I$7</f>
        <v>773.33333333333337</v>
      </c>
      <c r="H87" s="7">
        <f t="shared" si="31"/>
        <v>5629.8666666666668</v>
      </c>
      <c r="I87" s="7">
        <f t="shared" si="34"/>
        <v>5359.2</v>
      </c>
    </row>
    <row r="88" spans="1:12">
      <c r="A88" t="s">
        <v>82</v>
      </c>
      <c r="B88">
        <f t="shared" si="32"/>
        <v>8</v>
      </c>
      <c r="C88">
        <v>30</v>
      </c>
      <c r="D88">
        <f t="shared" si="30"/>
        <v>7.42</v>
      </c>
      <c r="E88">
        <f t="shared" si="33"/>
        <v>7.2299999999999995</v>
      </c>
      <c r="F88" s="1">
        <f>+($G$8*(30-$C$22)+$G$9*$C$22)/30</f>
        <v>8.7499999999999994E-2</v>
      </c>
      <c r="G88">
        <f>+F88*'Melkepriskalender (per liter)'!$I$7</f>
        <v>700</v>
      </c>
      <c r="H88" s="7">
        <f t="shared" si="31"/>
        <v>5194</v>
      </c>
      <c r="I88" s="7">
        <f t="shared" si="34"/>
        <v>5061</v>
      </c>
    </row>
    <row r="89" spans="1:12">
      <c r="A89" t="s">
        <v>83</v>
      </c>
      <c r="B89">
        <f t="shared" si="32"/>
        <v>9</v>
      </c>
      <c r="C89">
        <v>30</v>
      </c>
      <c r="D89">
        <f t="shared" si="30"/>
        <v>7.42</v>
      </c>
      <c r="E89">
        <f t="shared" si="33"/>
        <v>7.2299999999999995</v>
      </c>
      <c r="F89" s="1">
        <f>+($G$9*(30-$C$22)+$G$10*$C$22)/30</f>
        <v>7.85E-2</v>
      </c>
      <c r="G89">
        <f>+F89*'Melkepriskalender (per liter)'!$I$7</f>
        <v>628</v>
      </c>
      <c r="H89" s="7">
        <f t="shared" si="31"/>
        <v>4659.76</v>
      </c>
      <c r="I89" s="7">
        <f t="shared" si="34"/>
        <v>4540.4399999999996</v>
      </c>
    </row>
    <row r="90" spans="1:12">
      <c r="A90" t="s">
        <v>84</v>
      </c>
      <c r="B90">
        <f t="shared" si="32"/>
        <v>10</v>
      </c>
      <c r="C90">
        <v>30</v>
      </c>
      <c r="D90">
        <f t="shared" si="30"/>
        <v>5.96</v>
      </c>
      <c r="E90">
        <f t="shared" si="33"/>
        <v>6.0299999999999994</v>
      </c>
      <c r="F90" s="1">
        <f>+($G$10*(30-$C$22)+$G$11*$C$22)/30</f>
        <v>7.0333333333333345E-2</v>
      </c>
      <c r="G90">
        <f>+F90*'Melkepriskalender (per liter)'!$I$7</f>
        <v>562.66666666666674</v>
      </c>
      <c r="H90" s="7">
        <f t="shared" si="31"/>
        <v>3353.4933333333338</v>
      </c>
      <c r="I90" s="7">
        <f t="shared" si="34"/>
        <v>3392.88</v>
      </c>
    </row>
    <row r="91" spans="1:12">
      <c r="A91" t="s">
        <v>85</v>
      </c>
      <c r="B91">
        <f t="shared" si="32"/>
        <v>11</v>
      </c>
      <c r="C91">
        <v>30</v>
      </c>
      <c r="D91">
        <f t="shared" si="30"/>
        <v>5.7299999999999995</v>
      </c>
      <c r="E91">
        <f t="shared" si="33"/>
        <v>5.7299999999999995</v>
      </c>
      <c r="F91" s="1">
        <f>+($G$11*(30-$C$22)+$G$12*$C$22)/30</f>
        <v>5.9000000000000004E-2</v>
      </c>
      <c r="G91">
        <f>+F91*'Melkepriskalender (per liter)'!$I$7</f>
        <v>472.00000000000006</v>
      </c>
      <c r="H91" s="7">
        <f t="shared" si="31"/>
        <v>2704.56</v>
      </c>
      <c r="I91" s="7">
        <f t="shared" si="34"/>
        <v>2704.56</v>
      </c>
    </row>
    <row r="92" spans="1:12">
      <c r="A92" t="s">
        <v>86</v>
      </c>
      <c r="B92">
        <f t="shared" si="32"/>
        <v>12</v>
      </c>
      <c r="C92">
        <f>300-SUM(C82:C91)</f>
        <v>5</v>
      </c>
      <c r="D92">
        <f t="shared" si="30"/>
        <v>5.7299999999999995</v>
      </c>
      <c r="E92">
        <f t="shared" si="33"/>
        <v>5.7299999999999995</v>
      </c>
      <c r="F92" s="1">
        <f>+($G$12*(30-$C$22)+$G$13*$C$22)/30</f>
        <v>9.5000000000000015E-3</v>
      </c>
      <c r="G92">
        <f>+F92*'Melkepriskalender (per liter)'!$I$7</f>
        <v>76.000000000000014</v>
      </c>
      <c r="H92" s="7">
        <f t="shared" si="31"/>
        <v>435.48</v>
      </c>
      <c r="I92" s="7">
        <f t="shared" si="34"/>
        <v>435.48</v>
      </c>
    </row>
    <row r="93" spans="1:12">
      <c r="J93" s="70" t="s">
        <v>70</v>
      </c>
      <c r="K93" s="70"/>
      <c r="L93" s="60"/>
    </row>
    <row r="94" spans="1:12">
      <c r="A94" t="s">
        <v>71</v>
      </c>
      <c r="J94" s="60" t="s">
        <v>1</v>
      </c>
      <c r="K94" s="60" t="s">
        <v>49</v>
      </c>
      <c r="L94" s="60"/>
    </row>
    <row r="95" spans="1:12">
      <c r="A95" s="3">
        <f>+DATE(2019,C95,$B$20)</f>
        <v>43530</v>
      </c>
      <c r="B95">
        <f>+DAY(A95)</f>
        <v>6</v>
      </c>
      <c r="C95">
        <f>+IF(C80&gt;11,1,C80+1)</f>
        <v>3</v>
      </c>
      <c r="D95" s="71" t="s">
        <v>50</v>
      </c>
      <c r="E95" s="71"/>
      <c r="H95" s="70" t="s">
        <v>72</v>
      </c>
      <c r="I95" s="70"/>
      <c r="J95" s="6">
        <f>+SUM(H97:H107)</f>
        <v>49485.293333333335</v>
      </c>
      <c r="K95" s="6">
        <f>+SUM(I97:I107)</f>
        <v>48633.78666666666</v>
      </c>
    </row>
    <row r="96" spans="1:12">
      <c r="C96" t="s">
        <v>73</v>
      </c>
      <c r="D96" s="59" t="s">
        <v>1</v>
      </c>
      <c r="E96" s="59" t="s">
        <v>49</v>
      </c>
      <c r="F96" t="s">
        <v>74</v>
      </c>
      <c r="G96" t="s">
        <v>75</v>
      </c>
      <c r="H96" s="60" t="s">
        <v>1</v>
      </c>
      <c r="I96" s="60" t="s">
        <v>49</v>
      </c>
    </row>
    <row r="97" spans="1:12">
      <c r="A97" t="s">
        <v>76</v>
      </c>
      <c r="B97">
        <f>+C95</f>
        <v>3</v>
      </c>
      <c r="C97">
        <f>30-B95+1</f>
        <v>25</v>
      </c>
      <c r="D97">
        <f t="shared" ref="D97:D107" si="35">+SUMIF($B$3:$B$14,B97,C$3:C$14)</f>
        <v>5.29</v>
      </c>
      <c r="E97">
        <f>+SUMIF($B$3:$B$14,$B97,D$3:D$14)</f>
        <v>5.27</v>
      </c>
      <c r="F97" s="1">
        <f>+$G$3*$C97/30</f>
        <v>0.10250000000000001</v>
      </c>
      <c r="G97">
        <f>+F97*'Melkepriskalender (per liter)'!$I$7</f>
        <v>820.00000000000011</v>
      </c>
      <c r="H97" s="7">
        <f t="shared" ref="H97:H107" si="36">+G97*D97</f>
        <v>4337.8</v>
      </c>
      <c r="I97" s="7">
        <f>+$G97*E97</f>
        <v>4321.4000000000005</v>
      </c>
    </row>
    <row r="98" spans="1:12">
      <c r="A98" t="s">
        <v>77</v>
      </c>
      <c r="B98">
        <f t="shared" ref="B98:B107" si="37">IF(B97+1&gt;12,1,B97+1)</f>
        <v>4</v>
      </c>
      <c r="C98">
        <v>30</v>
      </c>
      <c r="D98">
        <f t="shared" si="35"/>
        <v>5.29</v>
      </c>
      <c r="E98">
        <f t="shared" ref="E98:E107" si="38">+SUMIF($B$3:$B$14,$B98,D$3:D$14)</f>
        <v>5.27</v>
      </c>
      <c r="F98" s="1">
        <f>+($G$3*(30-$C$22)+$G$4*$C$22)/30</f>
        <v>0.13716666666666669</v>
      </c>
      <c r="G98">
        <f>+F98*'Melkepriskalender (per liter)'!$I$7</f>
        <v>1097.3333333333335</v>
      </c>
      <c r="H98" s="7">
        <f t="shared" si="36"/>
        <v>5804.8933333333343</v>
      </c>
      <c r="I98" s="7">
        <f t="shared" ref="I98:I107" si="39">+$G98*E98</f>
        <v>5782.9466666666667</v>
      </c>
    </row>
    <row r="99" spans="1:12">
      <c r="A99" t="s">
        <v>78</v>
      </c>
      <c r="B99">
        <f t="shared" si="37"/>
        <v>5</v>
      </c>
      <c r="C99">
        <v>30</v>
      </c>
      <c r="D99">
        <f t="shared" si="35"/>
        <v>5.37</v>
      </c>
      <c r="E99">
        <f t="shared" si="38"/>
        <v>5.37</v>
      </c>
      <c r="F99" s="1">
        <f>+($G$4*(30-$C$22)+$G$5*$C$22)/30</f>
        <v>0.13666666666666669</v>
      </c>
      <c r="G99">
        <f>+F99*'Melkepriskalender (per liter)'!$I$7</f>
        <v>1093.3333333333335</v>
      </c>
      <c r="H99" s="7">
        <f t="shared" si="36"/>
        <v>5871.2000000000007</v>
      </c>
      <c r="I99" s="7">
        <f t="shared" si="39"/>
        <v>5871.2000000000007</v>
      </c>
    </row>
    <row r="100" spans="1:12">
      <c r="A100" t="s">
        <v>79</v>
      </c>
      <c r="B100">
        <f t="shared" si="37"/>
        <v>6</v>
      </c>
      <c r="C100">
        <v>30</v>
      </c>
      <c r="D100">
        <f t="shared" si="35"/>
        <v>6.77</v>
      </c>
      <c r="E100">
        <f t="shared" si="38"/>
        <v>6.47</v>
      </c>
      <c r="F100" s="1">
        <f>+($G$5*(30-$C$22)+$G$6*$C$22)/30</f>
        <v>0.11600000000000002</v>
      </c>
      <c r="G100">
        <f>+F100*'Melkepriskalender (per liter)'!$I$7</f>
        <v>928.00000000000011</v>
      </c>
      <c r="H100" s="7">
        <f t="shared" si="36"/>
        <v>6282.56</v>
      </c>
      <c r="I100" s="7">
        <f t="shared" si="39"/>
        <v>6004.1600000000008</v>
      </c>
    </row>
    <row r="101" spans="1:12">
      <c r="A101" t="s">
        <v>80</v>
      </c>
      <c r="B101">
        <f t="shared" si="37"/>
        <v>7</v>
      </c>
      <c r="C101">
        <v>30</v>
      </c>
      <c r="D101">
        <f t="shared" si="35"/>
        <v>7.2799999999999994</v>
      </c>
      <c r="E101">
        <f t="shared" si="38"/>
        <v>6.93</v>
      </c>
      <c r="F101" s="1">
        <f>+($G$6*(30-$C$22)+$G$7*$C$22)/30</f>
        <v>0.10616666666666667</v>
      </c>
      <c r="G101">
        <f>+F101*'Melkepriskalender (per liter)'!$I$7</f>
        <v>849.33333333333337</v>
      </c>
      <c r="H101" s="7">
        <f t="shared" si="36"/>
        <v>6183.1466666666665</v>
      </c>
      <c r="I101" s="7">
        <f t="shared" si="39"/>
        <v>5885.88</v>
      </c>
    </row>
    <row r="102" spans="1:12">
      <c r="A102" t="s">
        <v>81</v>
      </c>
      <c r="B102">
        <f t="shared" si="37"/>
        <v>8</v>
      </c>
      <c r="C102">
        <v>30</v>
      </c>
      <c r="D102">
        <f t="shared" si="35"/>
        <v>7.42</v>
      </c>
      <c r="E102">
        <f t="shared" si="38"/>
        <v>7.2299999999999995</v>
      </c>
      <c r="F102" s="1">
        <f>+($G$7*(30-$C$22)+$G$8*$C$22)/30</f>
        <v>9.6666666666666665E-2</v>
      </c>
      <c r="G102">
        <f>+F102*'Melkepriskalender (per liter)'!$I$7</f>
        <v>773.33333333333337</v>
      </c>
      <c r="H102" s="7">
        <f t="shared" si="36"/>
        <v>5738.1333333333332</v>
      </c>
      <c r="I102" s="7">
        <f t="shared" si="39"/>
        <v>5591.2</v>
      </c>
    </row>
    <row r="103" spans="1:12">
      <c r="A103" t="s">
        <v>82</v>
      </c>
      <c r="B103">
        <f t="shared" si="37"/>
        <v>9</v>
      </c>
      <c r="C103">
        <v>30</v>
      </c>
      <c r="D103">
        <f t="shared" si="35"/>
        <v>7.42</v>
      </c>
      <c r="E103">
        <f t="shared" si="38"/>
        <v>7.2299999999999995</v>
      </c>
      <c r="F103" s="1">
        <f>+($G$8*(30-$C$22)+$G$9*$C$22)/30</f>
        <v>8.7499999999999994E-2</v>
      </c>
      <c r="G103">
        <f>+F103*'Melkepriskalender (per liter)'!$I$7</f>
        <v>700</v>
      </c>
      <c r="H103" s="7">
        <f t="shared" si="36"/>
        <v>5194</v>
      </c>
      <c r="I103" s="7">
        <f t="shared" si="39"/>
        <v>5061</v>
      </c>
    </row>
    <row r="104" spans="1:12">
      <c r="A104" t="s">
        <v>83</v>
      </c>
      <c r="B104">
        <f t="shared" si="37"/>
        <v>10</v>
      </c>
      <c r="C104">
        <v>30</v>
      </c>
      <c r="D104">
        <f t="shared" si="35"/>
        <v>5.96</v>
      </c>
      <c r="E104">
        <f t="shared" si="38"/>
        <v>6.0299999999999994</v>
      </c>
      <c r="F104" s="1">
        <f>+($G$9*(30-$C$22)+$G$10*$C$22)/30</f>
        <v>7.85E-2</v>
      </c>
      <c r="G104">
        <f>+F104*'Melkepriskalender (per liter)'!$I$7</f>
        <v>628</v>
      </c>
      <c r="H104" s="7">
        <f t="shared" si="36"/>
        <v>3742.88</v>
      </c>
      <c r="I104" s="7">
        <f t="shared" si="39"/>
        <v>3786.8399999999997</v>
      </c>
    </row>
    <row r="105" spans="1:12">
      <c r="A105" t="s">
        <v>84</v>
      </c>
      <c r="B105">
        <f t="shared" si="37"/>
        <v>11</v>
      </c>
      <c r="C105">
        <v>30</v>
      </c>
      <c r="D105">
        <f t="shared" si="35"/>
        <v>5.7299999999999995</v>
      </c>
      <c r="E105">
        <f t="shared" si="38"/>
        <v>5.7299999999999995</v>
      </c>
      <c r="F105" s="1">
        <f>+($G$10*(30-$C$22)+$G$11*$C$22)/30</f>
        <v>7.0333333333333345E-2</v>
      </c>
      <c r="G105">
        <f>+F105*'Melkepriskalender (per liter)'!$I$7</f>
        <v>562.66666666666674</v>
      </c>
      <c r="H105" s="7">
        <f t="shared" si="36"/>
        <v>3224.0800000000004</v>
      </c>
      <c r="I105" s="7">
        <f t="shared" si="39"/>
        <v>3224.0800000000004</v>
      </c>
    </row>
    <row r="106" spans="1:12">
      <c r="A106" t="s">
        <v>85</v>
      </c>
      <c r="B106">
        <f t="shared" si="37"/>
        <v>12</v>
      </c>
      <c r="C106">
        <v>30</v>
      </c>
      <c r="D106">
        <f t="shared" si="35"/>
        <v>5.7299999999999995</v>
      </c>
      <c r="E106">
        <f t="shared" si="38"/>
        <v>5.7299999999999995</v>
      </c>
      <c r="F106" s="1">
        <f>+($G$11*(30-$C$22)+$G$12*$C$22)/30</f>
        <v>5.9000000000000004E-2</v>
      </c>
      <c r="G106">
        <f>+F106*'Melkepriskalender (per liter)'!$I$7</f>
        <v>472.00000000000006</v>
      </c>
      <c r="H106" s="7">
        <f t="shared" si="36"/>
        <v>2704.56</v>
      </c>
      <c r="I106" s="7">
        <f t="shared" si="39"/>
        <v>2704.56</v>
      </c>
    </row>
    <row r="107" spans="1:12">
      <c r="A107" t="s">
        <v>86</v>
      </c>
      <c r="B107">
        <f t="shared" si="37"/>
        <v>1</v>
      </c>
      <c r="C107">
        <f>300-SUM(C97:C106)</f>
        <v>5</v>
      </c>
      <c r="D107">
        <f t="shared" si="35"/>
        <v>5.29</v>
      </c>
      <c r="E107">
        <f t="shared" si="38"/>
        <v>5.27</v>
      </c>
      <c r="F107" s="1">
        <f>+($G$12*(30-$C$22)+$G$13*$C$22)/30</f>
        <v>9.5000000000000015E-3</v>
      </c>
      <c r="G107">
        <f>+F107*'Melkepriskalender (per liter)'!$I$7</f>
        <v>76.000000000000014</v>
      </c>
      <c r="H107" s="7">
        <f t="shared" si="36"/>
        <v>402.04000000000008</v>
      </c>
      <c r="I107" s="7">
        <f t="shared" si="39"/>
        <v>400.52000000000004</v>
      </c>
    </row>
    <row r="108" spans="1:12">
      <c r="J108" s="70" t="s">
        <v>70</v>
      </c>
      <c r="K108" s="70"/>
      <c r="L108" s="60"/>
    </row>
    <row r="109" spans="1:12">
      <c r="A109" t="s">
        <v>71</v>
      </c>
      <c r="J109" s="60" t="s">
        <v>1</v>
      </c>
      <c r="K109" s="60" t="s">
        <v>49</v>
      </c>
      <c r="L109" s="60"/>
    </row>
    <row r="110" spans="1:12">
      <c r="A110" s="3">
        <f>+DATE(2019,C110,$B$20)</f>
        <v>43561</v>
      </c>
      <c r="B110">
        <f>+DAY(A110)</f>
        <v>6</v>
      </c>
      <c r="C110">
        <f>+IF(C95&gt;11,1,C95+1)</f>
        <v>4</v>
      </c>
      <c r="D110" s="71" t="s">
        <v>50</v>
      </c>
      <c r="E110" s="71"/>
      <c r="H110" s="70" t="s">
        <v>72</v>
      </c>
      <c r="I110" s="70"/>
      <c r="J110" s="6">
        <f>+SUM(H112:H122)</f>
        <v>50321.813333333339</v>
      </c>
      <c r="K110" s="6">
        <f>+SUM(I112:I122)</f>
        <v>49382.346666666672</v>
      </c>
    </row>
    <row r="111" spans="1:12">
      <c r="C111" t="s">
        <v>73</v>
      </c>
      <c r="D111" s="59" t="s">
        <v>1</v>
      </c>
      <c r="E111" s="59" t="s">
        <v>49</v>
      </c>
      <c r="F111" t="s">
        <v>74</v>
      </c>
      <c r="G111" t="s">
        <v>75</v>
      </c>
      <c r="H111" s="60" t="s">
        <v>1</v>
      </c>
      <c r="I111" s="60" t="s">
        <v>49</v>
      </c>
    </row>
    <row r="112" spans="1:12">
      <c r="A112" t="s">
        <v>76</v>
      </c>
      <c r="B112">
        <f>+C110</f>
        <v>4</v>
      </c>
      <c r="C112">
        <f>30-B110+1</f>
        <v>25</v>
      </c>
      <c r="D112">
        <f t="shared" ref="D112:D122" si="40">+SUMIF($B$3:$B$14,B112,C$3:C$14)</f>
        <v>5.29</v>
      </c>
      <c r="E112">
        <f>+SUMIF($B$3:$B$14,$B112,D$3:D$14)</f>
        <v>5.27</v>
      </c>
      <c r="F112" s="1">
        <f>+$G$3*$C112/30</f>
        <v>0.10250000000000001</v>
      </c>
      <c r="G112">
        <f>+F112*'Melkepriskalender (per liter)'!$I$7</f>
        <v>820.00000000000011</v>
      </c>
      <c r="H112" s="7">
        <f t="shared" ref="H112:H122" si="41">+G112*D112</f>
        <v>4337.8</v>
      </c>
      <c r="I112" s="7">
        <f>+$G112*E112</f>
        <v>4321.4000000000005</v>
      </c>
    </row>
    <row r="113" spans="1:12">
      <c r="A113" t="s">
        <v>77</v>
      </c>
      <c r="B113">
        <f t="shared" ref="B113:B122" si="42">IF(B112+1&gt;12,1,B112+1)</f>
        <v>5</v>
      </c>
      <c r="C113">
        <v>30</v>
      </c>
      <c r="D113">
        <f t="shared" si="40"/>
        <v>5.37</v>
      </c>
      <c r="E113">
        <f t="shared" ref="E113:E122" si="43">+SUMIF($B$3:$B$14,$B113,D$3:D$14)</f>
        <v>5.37</v>
      </c>
      <c r="F113" s="1">
        <f>+($G$3*(30-$C$22)+$G$4*$C$22)/30</f>
        <v>0.13716666666666669</v>
      </c>
      <c r="G113">
        <f>+F113*'Melkepriskalender (per liter)'!$I$7</f>
        <v>1097.3333333333335</v>
      </c>
      <c r="H113" s="7">
        <f t="shared" si="41"/>
        <v>5892.6800000000012</v>
      </c>
      <c r="I113" s="7">
        <f t="shared" ref="I113:I122" si="44">+$G113*E113</f>
        <v>5892.6800000000012</v>
      </c>
    </row>
    <row r="114" spans="1:12">
      <c r="A114" t="s">
        <v>78</v>
      </c>
      <c r="B114">
        <f t="shared" si="42"/>
        <v>6</v>
      </c>
      <c r="C114">
        <v>30</v>
      </c>
      <c r="D114">
        <f t="shared" si="40"/>
        <v>6.77</v>
      </c>
      <c r="E114">
        <f t="shared" si="43"/>
        <v>6.47</v>
      </c>
      <c r="F114" s="1">
        <f>+($G$4*(30-$C$22)+$G$5*$C$22)/30</f>
        <v>0.13666666666666669</v>
      </c>
      <c r="G114">
        <f>+F114*'Melkepriskalender (per liter)'!$I$7</f>
        <v>1093.3333333333335</v>
      </c>
      <c r="H114" s="7">
        <f t="shared" si="41"/>
        <v>7401.8666666666668</v>
      </c>
      <c r="I114" s="7">
        <f t="shared" si="44"/>
        <v>7073.8666666666677</v>
      </c>
    </row>
    <row r="115" spans="1:12">
      <c r="A115" t="s">
        <v>79</v>
      </c>
      <c r="B115">
        <f t="shared" si="42"/>
        <v>7</v>
      </c>
      <c r="C115">
        <v>30</v>
      </c>
      <c r="D115">
        <f t="shared" si="40"/>
        <v>7.2799999999999994</v>
      </c>
      <c r="E115">
        <f t="shared" si="43"/>
        <v>6.93</v>
      </c>
      <c r="F115" s="1">
        <f>+($G$5*(30-$C$22)+$G$6*$C$22)/30</f>
        <v>0.11600000000000002</v>
      </c>
      <c r="G115">
        <f>+F115*'Melkepriskalender (per liter)'!$I$7</f>
        <v>928.00000000000011</v>
      </c>
      <c r="H115" s="7">
        <f t="shared" si="41"/>
        <v>6755.84</v>
      </c>
      <c r="I115" s="7">
        <f t="shared" si="44"/>
        <v>6431.0400000000009</v>
      </c>
    </row>
    <row r="116" spans="1:12">
      <c r="A116" t="s">
        <v>80</v>
      </c>
      <c r="B116">
        <f t="shared" si="42"/>
        <v>8</v>
      </c>
      <c r="C116">
        <v>30</v>
      </c>
      <c r="D116">
        <f t="shared" si="40"/>
        <v>7.42</v>
      </c>
      <c r="E116">
        <f t="shared" si="43"/>
        <v>7.2299999999999995</v>
      </c>
      <c r="F116" s="1">
        <f>+($G$6*(30-$C$22)+$G$7*$C$22)/30</f>
        <v>0.10616666666666667</v>
      </c>
      <c r="G116">
        <f>+F116*'Melkepriskalender (per liter)'!$I$7</f>
        <v>849.33333333333337</v>
      </c>
      <c r="H116" s="7">
        <f t="shared" si="41"/>
        <v>6302.0533333333333</v>
      </c>
      <c r="I116" s="7">
        <f t="shared" si="44"/>
        <v>6140.68</v>
      </c>
    </row>
    <row r="117" spans="1:12">
      <c r="A117" t="s">
        <v>81</v>
      </c>
      <c r="B117">
        <f t="shared" si="42"/>
        <v>9</v>
      </c>
      <c r="C117">
        <v>30</v>
      </c>
      <c r="D117">
        <f t="shared" si="40"/>
        <v>7.42</v>
      </c>
      <c r="E117">
        <f t="shared" si="43"/>
        <v>7.2299999999999995</v>
      </c>
      <c r="F117" s="1">
        <f>+($G$7*(30-$C$22)+$G$8*$C$22)/30</f>
        <v>9.6666666666666665E-2</v>
      </c>
      <c r="G117">
        <f>+F117*'Melkepriskalender (per liter)'!$I$7</f>
        <v>773.33333333333337</v>
      </c>
      <c r="H117" s="7">
        <f t="shared" si="41"/>
        <v>5738.1333333333332</v>
      </c>
      <c r="I117" s="7">
        <f t="shared" si="44"/>
        <v>5591.2</v>
      </c>
    </row>
    <row r="118" spans="1:12">
      <c r="A118" t="s">
        <v>82</v>
      </c>
      <c r="B118">
        <f t="shared" si="42"/>
        <v>10</v>
      </c>
      <c r="C118">
        <v>30</v>
      </c>
      <c r="D118">
        <f t="shared" si="40"/>
        <v>5.96</v>
      </c>
      <c r="E118">
        <f t="shared" si="43"/>
        <v>6.0299999999999994</v>
      </c>
      <c r="F118" s="1">
        <f>+($G$8*(30-$C$22)+$G$9*$C$22)/30</f>
        <v>8.7499999999999994E-2</v>
      </c>
      <c r="G118">
        <f>+F118*'Melkepriskalender (per liter)'!$I$7</f>
        <v>700</v>
      </c>
      <c r="H118" s="7">
        <f t="shared" si="41"/>
        <v>4172</v>
      </c>
      <c r="I118" s="7">
        <f t="shared" si="44"/>
        <v>4221</v>
      </c>
    </row>
    <row r="119" spans="1:12">
      <c r="A119" t="s">
        <v>83</v>
      </c>
      <c r="B119">
        <f t="shared" si="42"/>
        <v>11</v>
      </c>
      <c r="C119">
        <v>30</v>
      </c>
      <c r="D119">
        <f t="shared" si="40"/>
        <v>5.7299999999999995</v>
      </c>
      <c r="E119">
        <f t="shared" si="43"/>
        <v>5.7299999999999995</v>
      </c>
      <c r="F119" s="1">
        <f>+($G$9*(30-$C$22)+$G$10*$C$22)/30</f>
        <v>7.85E-2</v>
      </c>
      <c r="G119">
        <f>+F119*'Melkepriskalender (per liter)'!$I$7</f>
        <v>628</v>
      </c>
      <c r="H119" s="7">
        <f t="shared" si="41"/>
        <v>3598.4399999999996</v>
      </c>
      <c r="I119" s="7">
        <f t="shared" si="44"/>
        <v>3598.4399999999996</v>
      </c>
    </row>
    <row r="120" spans="1:12">
      <c r="A120" t="s">
        <v>84</v>
      </c>
      <c r="B120">
        <f t="shared" si="42"/>
        <v>12</v>
      </c>
      <c r="C120">
        <v>30</v>
      </c>
      <c r="D120">
        <f t="shared" si="40"/>
        <v>5.7299999999999995</v>
      </c>
      <c r="E120">
        <f t="shared" si="43"/>
        <v>5.7299999999999995</v>
      </c>
      <c r="F120" s="1">
        <f>+($G$10*(30-$C$22)+$G$11*$C$22)/30</f>
        <v>7.0333333333333345E-2</v>
      </c>
      <c r="G120">
        <f>+F120*'Melkepriskalender (per liter)'!$I$7</f>
        <v>562.66666666666674</v>
      </c>
      <c r="H120" s="7">
        <f t="shared" si="41"/>
        <v>3224.0800000000004</v>
      </c>
      <c r="I120" s="7">
        <f t="shared" si="44"/>
        <v>3224.0800000000004</v>
      </c>
    </row>
    <row r="121" spans="1:12">
      <c r="A121" t="s">
        <v>85</v>
      </c>
      <c r="B121">
        <f t="shared" si="42"/>
        <v>1</v>
      </c>
      <c r="C121">
        <v>30</v>
      </c>
      <c r="D121">
        <f t="shared" si="40"/>
        <v>5.29</v>
      </c>
      <c r="E121">
        <f t="shared" si="43"/>
        <v>5.27</v>
      </c>
      <c r="F121" s="1">
        <f>+($G$11*(30-$C$22)+$G$12*$C$22)/30</f>
        <v>5.9000000000000004E-2</v>
      </c>
      <c r="G121">
        <f>+F121*'Melkepriskalender (per liter)'!$I$7</f>
        <v>472.00000000000006</v>
      </c>
      <c r="H121" s="7">
        <f t="shared" si="41"/>
        <v>2496.88</v>
      </c>
      <c r="I121" s="7">
        <f t="shared" si="44"/>
        <v>2487.44</v>
      </c>
    </row>
    <row r="122" spans="1:12">
      <c r="A122" t="s">
        <v>86</v>
      </c>
      <c r="B122">
        <f t="shared" si="42"/>
        <v>2</v>
      </c>
      <c r="C122">
        <f>300-SUM(C112:C121)</f>
        <v>5</v>
      </c>
      <c r="D122">
        <f t="shared" si="40"/>
        <v>5.29</v>
      </c>
      <c r="E122">
        <f t="shared" si="43"/>
        <v>5.27</v>
      </c>
      <c r="F122" s="1">
        <f>+($G$12*(30-$C$22)+$G$13*$C$22)/30</f>
        <v>9.5000000000000015E-3</v>
      </c>
      <c r="G122">
        <f>+F122*'Melkepriskalender (per liter)'!$I$7</f>
        <v>76.000000000000014</v>
      </c>
      <c r="H122" s="7">
        <f t="shared" si="41"/>
        <v>402.04000000000008</v>
      </c>
      <c r="I122" s="7">
        <f t="shared" si="44"/>
        <v>400.52000000000004</v>
      </c>
    </row>
    <row r="123" spans="1:12">
      <c r="J123" s="70" t="s">
        <v>70</v>
      </c>
      <c r="K123" s="70"/>
      <c r="L123" s="60"/>
    </row>
    <row r="124" spans="1:12">
      <c r="A124" t="s">
        <v>71</v>
      </c>
      <c r="J124" s="60" t="s">
        <v>1</v>
      </c>
      <c r="K124" s="60" t="s">
        <v>49</v>
      </c>
      <c r="L124" s="60"/>
    </row>
    <row r="125" spans="1:12">
      <c r="A125" s="3">
        <f>+DATE(2019,C125,$B$20)</f>
        <v>43591</v>
      </c>
      <c r="B125">
        <f>+DAY(A125)</f>
        <v>6</v>
      </c>
      <c r="C125">
        <f>+IF(C110&gt;11,1,C110+1)</f>
        <v>5</v>
      </c>
      <c r="D125" s="71" t="s">
        <v>50</v>
      </c>
      <c r="E125" s="71"/>
      <c r="H125" s="70" t="s">
        <v>72</v>
      </c>
      <c r="I125" s="70"/>
      <c r="J125" s="6">
        <f>+SUM(H127:H137)</f>
        <v>51073.560000000005</v>
      </c>
      <c r="K125" s="6">
        <f>+SUM(I127:I137)</f>
        <v>50055.920000000006</v>
      </c>
    </row>
    <row r="126" spans="1:12">
      <c r="C126" t="s">
        <v>73</v>
      </c>
      <c r="D126" s="59" t="s">
        <v>1</v>
      </c>
      <c r="E126" s="59" t="s">
        <v>49</v>
      </c>
      <c r="F126" t="s">
        <v>74</v>
      </c>
      <c r="G126" t="s">
        <v>75</v>
      </c>
      <c r="H126" s="60" t="s">
        <v>1</v>
      </c>
      <c r="I126" s="60" t="s">
        <v>49</v>
      </c>
    </row>
    <row r="127" spans="1:12">
      <c r="A127" t="s">
        <v>76</v>
      </c>
      <c r="B127">
        <f>+C125</f>
        <v>5</v>
      </c>
      <c r="C127">
        <f>30-B125+1</f>
        <v>25</v>
      </c>
      <c r="D127">
        <f t="shared" ref="D127:D137" si="45">+SUMIF($B$3:$B$14,B127,C$3:C$14)</f>
        <v>5.37</v>
      </c>
      <c r="E127">
        <f>+SUMIF($B$3:$B$14,$B127,D$3:D$14)</f>
        <v>5.37</v>
      </c>
      <c r="F127" s="1">
        <f>+$G$3*$C127/30</f>
        <v>0.10250000000000001</v>
      </c>
      <c r="G127">
        <f>+F127*'Melkepriskalender (per liter)'!$I$7</f>
        <v>820.00000000000011</v>
      </c>
      <c r="H127" s="7">
        <f t="shared" ref="H127:H137" si="46">+G127*D127</f>
        <v>4403.4000000000005</v>
      </c>
      <c r="I127" s="7">
        <f>+$G127*E127</f>
        <v>4403.4000000000005</v>
      </c>
    </row>
    <row r="128" spans="1:12">
      <c r="A128" t="s">
        <v>77</v>
      </c>
      <c r="B128">
        <f t="shared" ref="B128:B137" si="47">IF(B127+1&gt;12,1,B127+1)</f>
        <v>6</v>
      </c>
      <c r="C128">
        <v>30</v>
      </c>
      <c r="D128">
        <f t="shared" si="45"/>
        <v>6.77</v>
      </c>
      <c r="E128">
        <f t="shared" ref="E128:E137" si="48">+SUMIF($B$3:$B$14,$B128,D$3:D$14)</f>
        <v>6.47</v>
      </c>
      <c r="F128" s="1">
        <f>+($G$3*(30-$C$22)+$G$4*$C$22)/30</f>
        <v>0.13716666666666669</v>
      </c>
      <c r="G128">
        <f>+F128*'Melkepriskalender (per liter)'!$I$7</f>
        <v>1097.3333333333335</v>
      </c>
      <c r="H128" s="7">
        <f t="shared" si="46"/>
        <v>7428.9466666666676</v>
      </c>
      <c r="I128" s="7">
        <f t="shared" ref="I128:I137" si="49">+$G128*E128</f>
        <v>7099.7466666666678</v>
      </c>
    </row>
    <row r="129" spans="1:12">
      <c r="A129" t="s">
        <v>78</v>
      </c>
      <c r="B129">
        <f t="shared" si="47"/>
        <v>7</v>
      </c>
      <c r="C129">
        <v>30</v>
      </c>
      <c r="D129">
        <f t="shared" si="45"/>
        <v>7.2799999999999994</v>
      </c>
      <c r="E129">
        <f t="shared" si="48"/>
        <v>6.93</v>
      </c>
      <c r="F129" s="1">
        <f>+($G$4*(30-$C$22)+$G$5*$C$22)/30</f>
        <v>0.13666666666666669</v>
      </c>
      <c r="G129">
        <f>+F129*'Melkepriskalender (per liter)'!$I$7</f>
        <v>1093.3333333333335</v>
      </c>
      <c r="H129" s="7">
        <f t="shared" si="46"/>
        <v>7959.4666666666672</v>
      </c>
      <c r="I129" s="7">
        <f t="shared" si="49"/>
        <v>7576.8000000000011</v>
      </c>
    </row>
    <row r="130" spans="1:12">
      <c r="A130" t="s">
        <v>79</v>
      </c>
      <c r="B130">
        <f t="shared" si="47"/>
        <v>8</v>
      </c>
      <c r="C130">
        <v>30</v>
      </c>
      <c r="D130">
        <f t="shared" si="45"/>
        <v>7.42</v>
      </c>
      <c r="E130">
        <f t="shared" si="48"/>
        <v>7.2299999999999995</v>
      </c>
      <c r="F130" s="1">
        <f>+($G$5*(30-$C$22)+$G$6*$C$22)/30</f>
        <v>0.11600000000000002</v>
      </c>
      <c r="G130">
        <f>+F130*'Melkepriskalender (per liter)'!$I$7</f>
        <v>928.00000000000011</v>
      </c>
      <c r="H130" s="7">
        <f t="shared" si="46"/>
        <v>6885.7600000000011</v>
      </c>
      <c r="I130" s="7">
        <f t="shared" si="49"/>
        <v>6709.4400000000005</v>
      </c>
    </row>
    <row r="131" spans="1:12">
      <c r="A131" t="s">
        <v>80</v>
      </c>
      <c r="B131">
        <f t="shared" si="47"/>
        <v>9</v>
      </c>
      <c r="C131">
        <v>30</v>
      </c>
      <c r="D131">
        <f t="shared" si="45"/>
        <v>7.42</v>
      </c>
      <c r="E131">
        <f t="shared" si="48"/>
        <v>7.2299999999999995</v>
      </c>
      <c r="F131" s="1">
        <f>+($G$6*(30-$C$22)+$G$7*$C$22)/30</f>
        <v>0.10616666666666667</v>
      </c>
      <c r="G131">
        <f>+F131*'Melkepriskalender (per liter)'!$I$7</f>
        <v>849.33333333333337</v>
      </c>
      <c r="H131" s="7">
        <f t="shared" si="46"/>
        <v>6302.0533333333333</v>
      </c>
      <c r="I131" s="7">
        <f t="shared" si="49"/>
        <v>6140.68</v>
      </c>
    </row>
    <row r="132" spans="1:12">
      <c r="A132" t="s">
        <v>81</v>
      </c>
      <c r="B132">
        <f t="shared" si="47"/>
        <v>10</v>
      </c>
      <c r="C132">
        <v>30</v>
      </c>
      <c r="D132">
        <f t="shared" si="45"/>
        <v>5.96</v>
      </c>
      <c r="E132">
        <f t="shared" si="48"/>
        <v>6.0299999999999994</v>
      </c>
      <c r="F132" s="1">
        <f>+($G$7*(30-$C$22)+$G$8*$C$22)/30</f>
        <v>9.6666666666666665E-2</v>
      </c>
      <c r="G132">
        <f>+F132*'Melkepriskalender (per liter)'!$I$7</f>
        <v>773.33333333333337</v>
      </c>
      <c r="H132" s="7">
        <f t="shared" si="46"/>
        <v>4609.0666666666666</v>
      </c>
      <c r="I132" s="7">
        <f t="shared" si="49"/>
        <v>4663.2</v>
      </c>
    </row>
    <row r="133" spans="1:12">
      <c r="A133" t="s">
        <v>82</v>
      </c>
      <c r="B133">
        <f t="shared" si="47"/>
        <v>11</v>
      </c>
      <c r="C133">
        <v>30</v>
      </c>
      <c r="D133">
        <f t="shared" si="45"/>
        <v>5.7299999999999995</v>
      </c>
      <c r="E133">
        <f t="shared" si="48"/>
        <v>5.7299999999999995</v>
      </c>
      <c r="F133" s="1">
        <f>+($G$8*(30-$C$22)+$G$9*$C$22)/30</f>
        <v>8.7499999999999994E-2</v>
      </c>
      <c r="G133">
        <f>+F133*'Melkepriskalender (per liter)'!$I$7</f>
        <v>700</v>
      </c>
      <c r="H133" s="7">
        <f t="shared" si="46"/>
        <v>4010.9999999999995</v>
      </c>
      <c r="I133" s="7">
        <f t="shared" si="49"/>
        <v>4010.9999999999995</v>
      </c>
    </row>
    <row r="134" spans="1:12">
      <c r="A134" t="s">
        <v>83</v>
      </c>
      <c r="B134">
        <f t="shared" si="47"/>
        <v>12</v>
      </c>
      <c r="C134">
        <v>30</v>
      </c>
      <c r="D134">
        <f t="shared" si="45"/>
        <v>5.7299999999999995</v>
      </c>
      <c r="E134">
        <f t="shared" si="48"/>
        <v>5.7299999999999995</v>
      </c>
      <c r="F134" s="1">
        <f>+($G$9*(30-$C$22)+$G$10*$C$22)/30</f>
        <v>7.85E-2</v>
      </c>
      <c r="G134">
        <f>+F134*'Melkepriskalender (per liter)'!$I$7</f>
        <v>628</v>
      </c>
      <c r="H134" s="7">
        <f t="shared" si="46"/>
        <v>3598.4399999999996</v>
      </c>
      <c r="I134" s="7">
        <f t="shared" si="49"/>
        <v>3598.4399999999996</v>
      </c>
    </row>
    <row r="135" spans="1:12">
      <c r="A135" t="s">
        <v>84</v>
      </c>
      <c r="B135">
        <f t="shared" si="47"/>
        <v>1</v>
      </c>
      <c r="C135">
        <v>30</v>
      </c>
      <c r="D135">
        <f t="shared" si="45"/>
        <v>5.29</v>
      </c>
      <c r="E135">
        <f t="shared" si="48"/>
        <v>5.27</v>
      </c>
      <c r="F135" s="1">
        <f>+($G$10*(30-$C$22)+$G$11*$C$22)/30</f>
        <v>7.0333333333333345E-2</v>
      </c>
      <c r="G135">
        <f>+F135*'Melkepriskalender (per liter)'!$I$7</f>
        <v>562.66666666666674</v>
      </c>
      <c r="H135" s="7">
        <f t="shared" si="46"/>
        <v>2976.5066666666671</v>
      </c>
      <c r="I135" s="7">
        <f t="shared" si="49"/>
        <v>2965.2533333333336</v>
      </c>
    </row>
    <row r="136" spans="1:12">
      <c r="A136" t="s">
        <v>85</v>
      </c>
      <c r="B136">
        <f t="shared" si="47"/>
        <v>2</v>
      </c>
      <c r="C136">
        <v>30</v>
      </c>
      <c r="D136">
        <f t="shared" si="45"/>
        <v>5.29</v>
      </c>
      <c r="E136">
        <f t="shared" si="48"/>
        <v>5.27</v>
      </c>
      <c r="F136" s="1">
        <f>+($G$11*(30-$C$22)+$G$12*$C$22)/30</f>
        <v>5.9000000000000004E-2</v>
      </c>
      <c r="G136">
        <f>+F136*'Melkepriskalender (per liter)'!$I$7</f>
        <v>472.00000000000006</v>
      </c>
      <c r="H136" s="7">
        <f t="shared" si="46"/>
        <v>2496.88</v>
      </c>
      <c r="I136" s="7">
        <f t="shared" si="49"/>
        <v>2487.44</v>
      </c>
    </row>
    <row r="137" spans="1:12">
      <c r="A137" t="s">
        <v>86</v>
      </c>
      <c r="B137">
        <f t="shared" si="47"/>
        <v>3</v>
      </c>
      <c r="C137">
        <f>300-SUM(C127:C136)</f>
        <v>5</v>
      </c>
      <c r="D137">
        <f t="shared" si="45"/>
        <v>5.29</v>
      </c>
      <c r="E137">
        <f t="shared" si="48"/>
        <v>5.27</v>
      </c>
      <c r="F137" s="1">
        <f>+($G$12*(30-$C$22)+$G$13*$C$22)/30</f>
        <v>9.5000000000000015E-3</v>
      </c>
      <c r="G137">
        <f>+F137*'Melkepriskalender (per liter)'!$I$7</f>
        <v>76.000000000000014</v>
      </c>
      <c r="H137" s="7">
        <f t="shared" si="46"/>
        <v>402.04000000000008</v>
      </c>
      <c r="I137" s="7">
        <f t="shared" si="49"/>
        <v>400.52000000000004</v>
      </c>
    </row>
    <row r="138" spans="1:12">
      <c r="J138" s="70" t="s">
        <v>70</v>
      </c>
      <c r="K138" s="70"/>
      <c r="L138" s="60"/>
    </row>
    <row r="139" spans="1:12">
      <c r="A139" t="s">
        <v>71</v>
      </c>
      <c r="J139" s="60" t="s">
        <v>1</v>
      </c>
      <c r="K139" s="60" t="s">
        <v>49</v>
      </c>
      <c r="L139" s="60"/>
    </row>
    <row r="140" spans="1:12">
      <c r="A140" s="3">
        <f>+DATE(2019,C140,$B$20)</f>
        <v>43622</v>
      </c>
      <c r="B140">
        <f>+DAY(A140)</f>
        <v>6</v>
      </c>
      <c r="C140">
        <f>+IF(C125&gt;11,1,C125+1)</f>
        <v>6</v>
      </c>
      <c r="D140" s="71" t="s">
        <v>50</v>
      </c>
      <c r="E140" s="71"/>
      <c r="H140" s="70" t="s">
        <v>72</v>
      </c>
      <c r="I140" s="70"/>
      <c r="J140" s="6">
        <f>+SUM(H142:H152)</f>
        <v>51240.053333333337</v>
      </c>
      <c r="K140" s="6">
        <f>+SUM(I142:I152)</f>
        <v>50250.613333333335</v>
      </c>
    </row>
    <row r="141" spans="1:12">
      <c r="C141" t="s">
        <v>73</v>
      </c>
      <c r="D141" s="59" t="s">
        <v>1</v>
      </c>
      <c r="E141" s="59" t="s">
        <v>49</v>
      </c>
      <c r="F141" t="s">
        <v>74</v>
      </c>
      <c r="G141" t="s">
        <v>75</v>
      </c>
      <c r="H141" s="60" t="s">
        <v>1</v>
      </c>
      <c r="I141" s="60" t="s">
        <v>49</v>
      </c>
    </row>
    <row r="142" spans="1:12">
      <c r="A142" t="s">
        <v>76</v>
      </c>
      <c r="B142">
        <f>+C140</f>
        <v>6</v>
      </c>
      <c r="C142">
        <f>30-B140+1</f>
        <v>25</v>
      </c>
      <c r="D142">
        <f t="shared" ref="D142:D152" si="50">+SUMIF($B$3:$B$14,B142,C$3:C$14)</f>
        <v>6.77</v>
      </c>
      <c r="E142">
        <f>+SUMIF($B$3:$B$14,$B142,D$3:D$14)</f>
        <v>6.47</v>
      </c>
      <c r="F142" s="1">
        <f>+$G$3*$C142/30</f>
        <v>0.10250000000000001</v>
      </c>
      <c r="G142">
        <f>+F142*'Melkepriskalender (per liter)'!$I$7</f>
        <v>820.00000000000011</v>
      </c>
      <c r="H142" s="7">
        <f t="shared" ref="H142:H152" si="51">+G142*D142</f>
        <v>5551.4000000000005</v>
      </c>
      <c r="I142" s="7">
        <f>+$G142*E142</f>
        <v>5305.4000000000005</v>
      </c>
    </row>
    <row r="143" spans="1:12">
      <c r="A143" t="s">
        <v>77</v>
      </c>
      <c r="B143">
        <f t="shared" ref="B143:B152" si="52">IF(B142+1&gt;12,1,B142+1)</f>
        <v>7</v>
      </c>
      <c r="C143">
        <v>30</v>
      </c>
      <c r="D143">
        <f t="shared" si="50"/>
        <v>7.2799999999999994</v>
      </c>
      <c r="E143">
        <f t="shared" ref="E143:E152" si="53">+SUMIF($B$3:$B$14,$B143,D$3:D$14)</f>
        <v>6.93</v>
      </c>
      <c r="F143" s="1">
        <f>+($G$3*(30-$C$22)+$G$4*$C$22)/30</f>
        <v>0.13716666666666669</v>
      </c>
      <c r="G143">
        <f>+F143*'Melkepriskalender (per liter)'!$I$7</f>
        <v>1097.3333333333335</v>
      </c>
      <c r="H143" s="7">
        <f t="shared" si="51"/>
        <v>7988.586666666667</v>
      </c>
      <c r="I143" s="7">
        <f t="shared" ref="I143:I152" si="54">+$G143*E143</f>
        <v>7604.52</v>
      </c>
    </row>
    <row r="144" spans="1:12">
      <c r="A144" t="s">
        <v>78</v>
      </c>
      <c r="B144">
        <f t="shared" si="52"/>
        <v>8</v>
      </c>
      <c r="C144">
        <v>30</v>
      </c>
      <c r="D144">
        <f t="shared" si="50"/>
        <v>7.42</v>
      </c>
      <c r="E144">
        <f t="shared" si="53"/>
        <v>7.2299999999999995</v>
      </c>
      <c r="F144" s="1">
        <f>+($G$4*(30-$C$22)+$G$5*$C$22)/30</f>
        <v>0.13666666666666669</v>
      </c>
      <c r="G144">
        <f>+F144*'Melkepriskalender (per liter)'!$I$7</f>
        <v>1093.3333333333335</v>
      </c>
      <c r="H144" s="7">
        <f t="shared" si="51"/>
        <v>8112.5333333333347</v>
      </c>
      <c r="I144" s="7">
        <f t="shared" si="54"/>
        <v>7904.8</v>
      </c>
    </row>
    <row r="145" spans="1:12">
      <c r="A145" t="s">
        <v>79</v>
      </c>
      <c r="B145">
        <f t="shared" si="52"/>
        <v>9</v>
      </c>
      <c r="C145">
        <v>30</v>
      </c>
      <c r="D145">
        <f t="shared" si="50"/>
        <v>7.42</v>
      </c>
      <c r="E145">
        <f t="shared" si="53"/>
        <v>7.2299999999999995</v>
      </c>
      <c r="F145" s="1">
        <f>+($G$5*(30-$C$22)+$G$6*$C$22)/30</f>
        <v>0.11600000000000002</v>
      </c>
      <c r="G145">
        <f>+F145*'Melkepriskalender (per liter)'!$I$7</f>
        <v>928.00000000000011</v>
      </c>
      <c r="H145" s="7">
        <f t="shared" si="51"/>
        <v>6885.7600000000011</v>
      </c>
      <c r="I145" s="7">
        <f t="shared" si="54"/>
        <v>6709.4400000000005</v>
      </c>
    </row>
    <row r="146" spans="1:12">
      <c r="A146" t="s">
        <v>80</v>
      </c>
      <c r="B146">
        <f t="shared" si="52"/>
        <v>10</v>
      </c>
      <c r="C146">
        <v>30</v>
      </c>
      <c r="D146">
        <f t="shared" si="50"/>
        <v>5.96</v>
      </c>
      <c r="E146">
        <f t="shared" si="53"/>
        <v>6.0299999999999994</v>
      </c>
      <c r="F146" s="1">
        <f>+($G$6*(30-$C$22)+$G$7*$C$22)/30</f>
        <v>0.10616666666666667</v>
      </c>
      <c r="G146">
        <f>+F146*'Melkepriskalender (per liter)'!$I$7</f>
        <v>849.33333333333337</v>
      </c>
      <c r="H146" s="7">
        <f t="shared" si="51"/>
        <v>5062.0266666666666</v>
      </c>
      <c r="I146" s="7">
        <f t="shared" si="54"/>
        <v>5121.4799999999996</v>
      </c>
    </row>
    <row r="147" spans="1:12">
      <c r="A147" t="s">
        <v>81</v>
      </c>
      <c r="B147">
        <f t="shared" si="52"/>
        <v>11</v>
      </c>
      <c r="C147">
        <v>30</v>
      </c>
      <c r="D147">
        <f t="shared" si="50"/>
        <v>5.7299999999999995</v>
      </c>
      <c r="E147">
        <f t="shared" si="53"/>
        <v>5.7299999999999995</v>
      </c>
      <c r="F147" s="1">
        <f>+($G$7*(30-$C$22)+$G$8*$C$22)/30</f>
        <v>9.6666666666666665E-2</v>
      </c>
      <c r="G147">
        <f>+F147*'Melkepriskalender (per liter)'!$I$7</f>
        <v>773.33333333333337</v>
      </c>
      <c r="H147" s="7">
        <f t="shared" si="51"/>
        <v>4431.2</v>
      </c>
      <c r="I147" s="7">
        <f t="shared" si="54"/>
        <v>4431.2</v>
      </c>
    </row>
    <row r="148" spans="1:12">
      <c r="A148" t="s">
        <v>82</v>
      </c>
      <c r="B148">
        <f t="shared" si="52"/>
        <v>12</v>
      </c>
      <c r="C148">
        <v>30</v>
      </c>
      <c r="D148">
        <f t="shared" si="50"/>
        <v>5.7299999999999995</v>
      </c>
      <c r="E148">
        <f t="shared" si="53"/>
        <v>5.7299999999999995</v>
      </c>
      <c r="F148" s="1">
        <f>+($G$8*(30-$C$22)+$G$9*$C$22)/30</f>
        <v>8.7499999999999994E-2</v>
      </c>
      <c r="G148">
        <f>+F148*'Melkepriskalender (per liter)'!$I$7</f>
        <v>700</v>
      </c>
      <c r="H148" s="7">
        <f t="shared" si="51"/>
        <v>4010.9999999999995</v>
      </c>
      <c r="I148" s="7">
        <f t="shared" si="54"/>
        <v>4010.9999999999995</v>
      </c>
    </row>
    <row r="149" spans="1:12">
      <c r="A149" t="s">
        <v>83</v>
      </c>
      <c r="B149">
        <f t="shared" si="52"/>
        <v>1</v>
      </c>
      <c r="C149">
        <v>30</v>
      </c>
      <c r="D149">
        <f t="shared" si="50"/>
        <v>5.29</v>
      </c>
      <c r="E149">
        <f t="shared" si="53"/>
        <v>5.27</v>
      </c>
      <c r="F149" s="1">
        <f>+($G$9*(30-$C$22)+$G$10*$C$22)/30</f>
        <v>7.85E-2</v>
      </c>
      <c r="G149">
        <f>+F149*'Melkepriskalender (per liter)'!$I$7</f>
        <v>628</v>
      </c>
      <c r="H149" s="7">
        <f t="shared" si="51"/>
        <v>3322.12</v>
      </c>
      <c r="I149" s="7">
        <f t="shared" si="54"/>
        <v>3309.56</v>
      </c>
    </row>
    <row r="150" spans="1:12">
      <c r="A150" t="s">
        <v>84</v>
      </c>
      <c r="B150">
        <f t="shared" si="52"/>
        <v>2</v>
      </c>
      <c r="C150">
        <v>30</v>
      </c>
      <c r="D150">
        <f t="shared" si="50"/>
        <v>5.29</v>
      </c>
      <c r="E150">
        <f t="shared" si="53"/>
        <v>5.27</v>
      </c>
      <c r="F150" s="1">
        <f>+($G$10*(30-$C$22)+$G$11*$C$22)/30</f>
        <v>7.0333333333333345E-2</v>
      </c>
      <c r="G150">
        <f>+F150*'Melkepriskalender (per liter)'!$I$7</f>
        <v>562.66666666666674</v>
      </c>
      <c r="H150" s="7">
        <f t="shared" si="51"/>
        <v>2976.5066666666671</v>
      </c>
      <c r="I150" s="7">
        <f t="shared" si="54"/>
        <v>2965.2533333333336</v>
      </c>
    </row>
    <row r="151" spans="1:12">
      <c r="A151" t="s">
        <v>85</v>
      </c>
      <c r="B151">
        <f t="shared" si="52"/>
        <v>3</v>
      </c>
      <c r="C151">
        <v>30</v>
      </c>
      <c r="D151">
        <f t="shared" si="50"/>
        <v>5.29</v>
      </c>
      <c r="E151">
        <f t="shared" si="53"/>
        <v>5.27</v>
      </c>
      <c r="F151" s="1">
        <f>+($G$11*(30-$C$22)+$G$12*$C$22)/30</f>
        <v>5.9000000000000004E-2</v>
      </c>
      <c r="G151">
        <f>+F151*'Melkepriskalender (per liter)'!$I$7</f>
        <v>472.00000000000006</v>
      </c>
      <c r="H151" s="7">
        <f t="shared" si="51"/>
        <v>2496.88</v>
      </c>
      <c r="I151" s="7">
        <f t="shared" si="54"/>
        <v>2487.44</v>
      </c>
    </row>
    <row r="152" spans="1:12">
      <c r="A152" t="s">
        <v>86</v>
      </c>
      <c r="B152">
        <f t="shared" si="52"/>
        <v>4</v>
      </c>
      <c r="C152">
        <f>300-SUM(C142:C151)</f>
        <v>5</v>
      </c>
      <c r="D152">
        <f t="shared" si="50"/>
        <v>5.29</v>
      </c>
      <c r="E152">
        <f t="shared" si="53"/>
        <v>5.27</v>
      </c>
      <c r="F152" s="1">
        <f>+($G$12*(30-$C$22)+$G$13*$C$22)/30</f>
        <v>9.5000000000000015E-3</v>
      </c>
      <c r="G152">
        <f>+F152*'Melkepriskalender (per liter)'!$I$7</f>
        <v>76.000000000000014</v>
      </c>
      <c r="H152" s="7">
        <f t="shared" si="51"/>
        <v>402.04000000000008</v>
      </c>
      <c r="I152" s="7">
        <f t="shared" si="54"/>
        <v>400.52000000000004</v>
      </c>
    </row>
    <row r="153" spans="1:12">
      <c r="J153" s="70" t="s">
        <v>70</v>
      </c>
      <c r="K153" s="70"/>
      <c r="L153" s="60"/>
    </row>
    <row r="154" spans="1:12">
      <c r="A154" t="s">
        <v>71</v>
      </c>
      <c r="J154" s="60" t="s">
        <v>1</v>
      </c>
      <c r="K154" s="60" t="s">
        <v>49</v>
      </c>
      <c r="L154" s="60"/>
    </row>
    <row r="155" spans="1:12">
      <c r="A155" s="3">
        <f>+DATE(2019,C155,$B$20)</f>
        <v>43652</v>
      </c>
      <c r="B155">
        <f>+DAY(A155)</f>
        <v>6</v>
      </c>
      <c r="C155">
        <f>+IF(C140&gt;11,1,C140+1)</f>
        <v>7</v>
      </c>
      <c r="D155" s="71" t="s">
        <v>50</v>
      </c>
      <c r="E155" s="71"/>
      <c r="H155" s="70" t="s">
        <v>72</v>
      </c>
      <c r="I155" s="70"/>
      <c r="J155" s="6">
        <f>+SUM(H157:H167)</f>
        <v>49959.733333333344</v>
      </c>
      <c r="K155" s="6">
        <f>+SUM(I157:I167)</f>
        <v>49274.213333333333</v>
      </c>
    </row>
    <row r="156" spans="1:12">
      <c r="C156" t="s">
        <v>73</v>
      </c>
      <c r="D156" s="59" t="s">
        <v>1</v>
      </c>
      <c r="E156" s="59" t="s">
        <v>49</v>
      </c>
      <c r="F156" t="s">
        <v>74</v>
      </c>
      <c r="G156" t="s">
        <v>75</v>
      </c>
      <c r="H156" s="60" t="s">
        <v>1</v>
      </c>
      <c r="I156" s="60" t="s">
        <v>49</v>
      </c>
    </row>
    <row r="157" spans="1:12">
      <c r="A157" t="s">
        <v>76</v>
      </c>
      <c r="B157">
        <f>+C155</f>
        <v>7</v>
      </c>
      <c r="C157">
        <f>30-B155+1</f>
        <v>25</v>
      </c>
      <c r="D157">
        <f t="shared" ref="D157:D167" si="55">+SUMIF($B$3:$B$14,B157,C$3:C$14)</f>
        <v>7.2799999999999994</v>
      </c>
      <c r="E157">
        <f>+SUMIF($B$3:$B$14,$B157,D$3:D$14)</f>
        <v>6.93</v>
      </c>
      <c r="F157" s="1">
        <f>+$G$3*$C157/30</f>
        <v>0.10250000000000001</v>
      </c>
      <c r="G157">
        <f>+F157*'Melkepriskalender (per liter)'!$I$7</f>
        <v>820.00000000000011</v>
      </c>
      <c r="H157" s="7">
        <f t="shared" ref="H157:H167" si="56">+G157*D157</f>
        <v>5969.6</v>
      </c>
      <c r="I157" s="7">
        <f>+$G157*E157</f>
        <v>5682.6</v>
      </c>
    </row>
    <row r="158" spans="1:12">
      <c r="A158" t="s">
        <v>77</v>
      </c>
      <c r="B158">
        <f t="shared" ref="B158:B167" si="57">IF(B157+1&gt;12,1,B157+1)</f>
        <v>8</v>
      </c>
      <c r="C158">
        <v>30</v>
      </c>
      <c r="D158">
        <f t="shared" si="55"/>
        <v>7.42</v>
      </c>
      <c r="E158">
        <f t="shared" ref="E158:E167" si="58">+SUMIF($B$3:$B$14,$B158,D$3:D$14)</f>
        <v>7.2299999999999995</v>
      </c>
      <c r="F158" s="1">
        <f>+($G$3*(30-$C$22)+$G$4*$C$22)/30</f>
        <v>0.13716666666666669</v>
      </c>
      <c r="G158">
        <f>+F158*'Melkepriskalender (per liter)'!$I$7</f>
        <v>1097.3333333333335</v>
      </c>
      <c r="H158" s="7">
        <f t="shared" si="56"/>
        <v>8142.213333333334</v>
      </c>
      <c r="I158" s="7">
        <f t="shared" ref="I158:I167" si="59">+$G158*E158</f>
        <v>7933.72</v>
      </c>
    </row>
    <row r="159" spans="1:12">
      <c r="A159" t="s">
        <v>78</v>
      </c>
      <c r="B159">
        <f t="shared" si="57"/>
        <v>9</v>
      </c>
      <c r="C159">
        <v>30</v>
      </c>
      <c r="D159">
        <f t="shared" si="55"/>
        <v>7.42</v>
      </c>
      <c r="E159">
        <f t="shared" si="58"/>
        <v>7.2299999999999995</v>
      </c>
      <c r="F159" s="1">
        <f>+($G$4*(30-$C$22)+$G$5*$C$22)/30</f>
        <v>0.13666666666666669</v>
      </c>
      <c r="G159">
        <f>+F159*'Melkepriskalender (per liter)'!$I$7</f>
        <v>1093.3333333333335</v>
      </c>
      <c r="H159" s="7">
        <f t="shared" si="56"/>
        <v>8112.5333333333347</v>
      </c>
      <c r="I159" s="7">
        <f t="shared" si="59"/>
        <v>7904.8</v>
      </c>
    </row>
    <row r="160" spans="1:12">
      <c r="A160" t="s">
        <v>79</v>
      </c>
      <c r="B160">
        <f t="shared" si="57"/>
        <v>10</v>
      </c>
      <c r="C160">
        <v>30</v>
      </c>
      <c r="D160">
        <f t="shared" si="55"/>
        <v>5.96</v>
      </c>
      <c r="E160">
        <f t="shared" si="58"/>
        <v>6.0299999999999994</v>
      </c>
      <c r="F160" s="1">
        <f>+($G$5*(30-$C$22)+$G$6*$C$22)/30</f>
        <v>0.11600000000000002</v>
      </c>
      <c r="G160">
        <f>+F160*'Melkepriskalender (per liter)'!$I$7</f>
        <v>928.00000000000011</v>
      </c>
      <c r="H160" s="7">
        <f t="shared" si="56"/>
        <v>5530.880000000001</v>
      </c>
      <c r="I160" s="7">
        <f t="shared" si="59"/>
        <v>5595.84</v>
      </c>
    </row>
    <row r="161" spans="1:12">
      <c r="A161" t="s">
        <v>80</v>
      </c>
      <c r="B161">
        <f t="shared" si="57"/>
        <v>11</v>
      </c>
      <c r="C161">
        <v>30</v>
      </c>
      <c r="D161">
        <f t="shared" si="55"/>
        <v>5.7299999999999995</v>
      </c>
      <c r="E161">
        <f t="shared" si="58"/>
        <v>5.7299999999999995</v>
      </c>
      <c r="F161" s="1">
        <f>+($G$6*(30-$C$22)+$G$7*$C$22)/30</f>
        <v>0.10616666666666667</v>
      </c>
      <c r="G161">
        <f>+F161*'Melkepriskalender (per liter)'!$I$7</f>
        <v>849.33333333333337</v>
      </c>
      <c r="H161" s="7">
        <f t="shared" si="56"/>
        <v>4866.6799999999994</v>
      </c>
      <c r="I161" s="7">
        <f t="shared" si="59"/>
        <v>4866.6799999999994</v>
      </c>
    </row>
    <row r="162" spans="1:12">
      <c r="A162" t="s">
        <v>81</v>
      </c>
      <c r="B162">
        <f t="shared" si="57"/>
        <v>12</v>
      </c>
      <c r="C162">
        <v>30</v>
      </c>
      <c r="D162">
        <f t="shared" si="55"/>
        <v>5.7299999999999995</v>
      </c>
      <c r="E162">
        <f t="shared" si="58"/>
        <v>5.7299999999999995</v>
      </c>
      <c r="F162" s="1">
        <f>+($G$7*(30-$C$22)+$G$8*$C$22)/30</f>
        <v>9.6666666666666665E-2</v>
      </c>
      <c r="G162">
        <f>+F162*'Melkepriskalender (per liter)'!$I$7</f>
        <v>773.33333333333337</v>
      </c>
      <c r="H162" s="7">
        <f t="shared" si="56"/>
        <v>4431.2</v>
      </c>
      <c r="I162" s="7">
        <f t="shared" si="59"/>
        <v>4431.2</v>
      </c>
    </row>
    <row r="163" spans="1:12">
      <c r="A163" t="s">
        <v>82</v>
      </c>
      <c r="B163">
        <f t="shared" si="57"/>
        <v>1</v>
      </c>
      <c r="C163">
        <v>30</v>
      </c>
      <c r="D163">
        <f t="shared" si="55"/>
        <v>5.29</v>
      </c>
      <c r="E163">
        <f t="shared" si="58"/>
        <v>5.27</v>
      </c>
      <c r="F163" s="1">
        <f>+($G$8*(30-$C$22)+$G$9*$C$22)/30</f>
        <v>8.7499999999999994E-2</v>
      </c>
      <c r="G163">
        <f>+F163*'Melkepriskalender (per liter)'!$I$7</f>
        <v>700</v>
      </c>
      <c r="H163" s="7">
        <f t="shared" si="56"/>
        <v>3703</v>
      </c>
      <c r="I163" s="7">
        <f t="shared" si="59"/>
        <v>3688.9999999999995</v>
      </c>
    </row>
    <row r="164" spans="1:12">
      <c r="A164" t="s">
        <v>83</v>
      </c>
      <c r="B164">
        <f t="shared" si="57"/>
        <v>2</v>
      </c>
      <c r="C164">
        <v>30</v>
      </c>
      <c r="D164">
        <f t="shared" si="55"/>
        <v>5.29</v>
      </c>
      <c r="E164">
        <f t="shared" si="58"/>
        <v>5.27</v>
      </c>
      <c r="F164" s="1">
        <f>+($G$9*(30-$C$22)+$G$10*$C$22)/30</f>
        <v>7.85E-2</v>
      </c>
      <c r="G164">
        <f>+F164*'Melkepriskalender (per liter)'!$I$7</f>
        <v>628</v>
      </c>
      <c r="H164" s="7">
        <f t="shared" si="56"/>
        <v>3322.12</v>
      </c>
      <c r="I164" s="7">
        <f t="shared" si="59"/>
        <v>3309.56</v>
      </c>
    </row>
    <row r="165" spans="1:12">
      <c r="A165" t="s">
        <v>84</v>
      </c>
      <c r="B165">
        <f t="shared" si="57"/>
        <v>3</v>
      </c>
      <c r="C165">
        <v>30</v>
      </c>
      <c r="D165">
        <f t="shared" si="55"/>
        <v>5.29</v>
      </c>
      <c r="E165">
        <f t="shared" si="58"/>
        <v>5.27</v>
      </c>
      <c r="F165" s="1">
        <f>+($G$10*(30-$C$22)+$G$11*$C$22)/30</f>
        <v>7.0333333333333345E-2</v>
      </c>
      <c r="G165">
        <f>+F165*'Melkepriskalender (per liter)'!$I$7</f>
        <v>562.66666666666674</v>
      </c>
      <c r="H165" s="7">
        <f t="shared" si="56"/>
        <v>2976.5066666666671</v>
      </c>
      <c r="I165" s="7">
        <f t="shared" si="59"/>
        <v>2965.2533333333336</v>
      </c>
    </row>
    <row r="166" spans="1:12">
      <c r="A166" t="s">
        <v>85</v>
      </c>
      <c r="B166">
        <f t="shared" si="57"/>
        <v>4</v>
      </c>
      <c r="C166">
        <v>30</v>
      </c>
      <c r="D166">
        <f t="shared" si="55"/>
        <v>5.29</v>
      </c>
      <c r="E166">
        <f t="shared" si="58"/>
        <v>5.27</v>
      </c>
      <c r="F166" s="1">
        <f>+($G$11*(30-$C$22)+$G$12*$C$22)/30</f>
        <v>5.9000000000000004E-2</v>
      </c>
      <c r="G166">
        <f>+F166*'Melkepriskalender (per liter)'!$I$7</f>
        <v>472.00000000000006</v>
      </c>
      <c r="H166" s="7">
        <f t="shared" si="56"/>
        <v>2496.88</v>
      </c>
      <c r="I166" s="7">
        <f t="shared" si="59"/>
        <v>2487.44</v>
      </c>
    </row>
    <row r="167" spans="1:12">
      <c r="A167" t="s">
        <v>86</v>
      </c>
      <c r="B167">
        <f t="shared" si="57"/>
        <v>5</v>
      </c>
      <c r="C167">
        <f>300-SUM(C157:C166)</f>
        <v>5</v>
      </c>
      <c r="D167">
        <f t="shared" si="55"/>
        <v>5.37</v>
      </c>
      <c r="E167">
        <f t="shared" si="58"/>
        <v>5.37</v>
      </c>
      <c r="F167" s="1">
        <f>+($G$12*(30-$C$22)+$G$13*$C$22)/30</f>
        <v>9.5000000000000015E-3</v>
      </c>
      <c r="G167">
        <f>+F167*'Melkepriskalender (per liter)'!$I$7</f>
        <v>76.000000000000014</v>
      </c>
      <c r="H167" s="7">
        <f t="shared" si="56"/>
        <v>408.12000000000006</v>
      </c>
      <c r="I167" s="7">
        <f t="shared" si="59"/>
        <v>408.12000000000006</v>
      </c>
    </row>
    <row r="168" spans="1:12">
      <c r="J168" s="70" t="s">
        <v>70</v>
      </c>
      <c r="K168" s="70"/>
      <c r="L168" s="60"/>
    </row>
    <row r="169" spans="1:12">
      <c r="A169" t="s">
        <v>71</v>
      </c>
      <c r="J169" s="60" t="s">
        <v>1</v>
      </c>
      <c r="K169" s="60" t="s">
        <v>49</v>
      </c>
      <c r="L169" s="60"/>
    </row>
    <row r="170" spans="1:12">
      <c r="A170" s="3">
        <f>+DATE(2019,C170,$B$20)</f>
        <v>43683</v>
      </c>
      <c r="B170">
        <f>+DAY(A170)</f>
        <v>6</v>
      </c>
      <c r="C170">
        <f>+IF(C155&gt;11,1,C155+1)</f>
        <v>8</v>
      </c>
      <c r="D170" s="71" t="s">
        <v>50</v>
      </c>
      <c r="E170" s="71"/>
      <c r="H170" s="70" t="s">
        <v>72</v>
      </c>
      <c r="I170" s="70"/>
      <c r="J170" s="6">
        <f>+SUM(H172:H182)</f>
        <v>48068.72</v>
      </c>
      <c r="K170" s="6">
        <f>+SUM(I172:I182)</f>
        <v>47704.88</v>
      </c>
    </row>
    <row r="171" spans="1:12">
      <c r="C171" t="s">
        <v>73</v>
      </c>
      <c r="D171" s="59" t="s">
        <v>1</v>
      </c>
      <c r="E171" s="59" t="s">
        <v>49</v>
      </c>
      <c r="F171" t="s">
        <v>74</v>
      </c>
      <c r="G171" t="s">
        <v>75</v>
      </c>
      <c r="H171" s="60" t="s">
        <v>1</v>
      </c>
      <c r="I171" s="60" t="s">
        <v>49</v>
      </c>
    </row>
    <row r="172" spans="1:12">
      <c r="A172" t="s">
        <v>76</v>
      </c>
      <c r="B172">
        <f>+C170</f>
        <v>8</v>
      </c>
      <c r="C172">
        <f>30-B170+1</f>
        <v>25</v>
      </c>
      <c r="D172">
        <f t="shared" ref="D172:D182" si="60">+SUMIF($B$3:$B$14,B172,$C$3:$C$14)</f>
        <v>7.42</v>
      </c>
      <c r="E172">
        <f>+SUMIF($B$3:$B$14,$B172,D$3:D$14)</f>
        <v>7.2299999999999995</v>
      </c>
      <c r="F172" s="1">
        <f>+$G$3*$C172/30</f>
        <v>0.10250000000000001</v>
      </c>
      <c r="G172">
        <f>+F172*'Melkepriskalender (per liter)'!$I$7</f>
        <v>820.00000000000011</v>
      </c>
      <c r="H172" s="7">
        <f t="shared" ref="H172:H182" si="61">+G172*D172</f>
        <v>6084.4000000000005</v>
      </c>
      <c r="I172" s="7">
        <f>+$G172*E172</f>
        <v>5928.6</v>
      </c>
    </row>
    <row r="173" spans="1:12">
      <c r="A173" t="s">
        <v>77</v>
      </c>
      <c r="B173">
        <f t="shared" ref="B173:B182" si="62">IF(B172+1&gt;12,1,B172+1)</f>
        <v>9</v>
      </c>
      <c r="C173">
        <v>30</v>
      </c>
      <c r="D173">
        <f t="shared" si="60"/>
        <v>7.42</v>
      </c>
      <c r="E173">
        <f t="shared" ref="E173:E182" si="63">+SUMIF($B$3:$B$14,$B173,D$3:D$14)</f>
        <v>7.2299999999999995</v>
      </c>
      <c r="F173" s="1">
        <f>+($G$3*(30-$C$22)+$G$4*$C$22)/30</f>
        <v>0.13716666666666669</v>
      </c>
      <c r="G173">
        <f>+F173*'Melkepriskalender (per liter)'!$I$7</f>
        <v>1097.3333333333335</v>
      </c>
      <c r="H173" s="7">
        <f t="shared" si="61"/>
        <v>8142.213333333334</v>
      </c>
      <c r="I173" s="7">
        <f t="shared" ref="I173:I182" si="64">+$G173*E173</f>
        <v>7933.72</v>
      </c>
    </row>
    <row r="174" spans="1:12">
      <c r="A174" t="s">
        <v>78</v>
      </c>
      <c r="B174">
        <f t="shared" si="62"/>
        <v>10</v>
      </c>
      <c r="C174">
        <v>30</v>
      </c>
      <c r="D174">
        <f t="shared" si="60"/>
        <v>5.96</v>
      </c>
      <c r="E174">
        <f t="shared" si="63"/>
        <v>6.0299999999999994</v>
      </c>
      <c r="F174" s="1">
        <f>+($G$4*(30-$C$22)+$G$5*$C$22)/30</f>
        <v>0.13666666666666669</v>
      </c>
      <c r="G174">
        <f>+F174*'Melkepriskalender (per liter)'!$I$7</f>
        <v>1093.3333333333335</v>
      </c>
      <c r="H174" s="7">
        <f t="shared" si="61"/>
        <v>6516.2666666666673</v>
      </c>
      <c r="I174" s="7">
        <f t="shared" si="64"/>
        <v>6592.8</v>
      </c>
    </row>
    <row r="175" spans="1:12">
      <c r="A175" t="s">
        <v>79</v>
      </c>
      <c r="B175">
        <f t="shared" si="62"/>
        <v>11</v>
      </c>
      <c r="C175">
        <v>30</v>
      </c>
      <c r="D175">
        <f t="shared" si="60"/>
        <v>5.7299999999999995</v>
      </c>
      <c r="E175">
        <f t="shared" si="63"/>
        <v>5.7299999999999995</v>
      </c>
      <c r="F175" s="1">
        <f>+($G$5*(30-$C$22)+$G$6*$C$22)/30</f>
        <v>0.11600000000000002</v>
      </c>
      <c r="G175">
        <f>+F175*'Melkepriskalender (per liter)'!$I$7</f>
        <v>928.00000000000011</v>
      </c>
      <c r="H175" s="7">
        <f t="shared" si="61"/>
        <v>5317.4400000000005</v>
      </c>
      <c r="I175" s="7">
        <f t="shared" si="64"/>
        <v>5317.4400000000005</v>
      </c>
    </row>
    <row r="176" spans="1:12">
      <c r="A176" t="s">
        <v>80</v>
      </c>
      <c r="B176">
        <f t="shared" si="62"/>
        <v>12</v>
      </c>
      <c r="C176">
        <v>30</v>
      </c>
      <c r="D176">
        <f t="shared" si="60"/>
        <v>5.7299999999999995</v>
      </c>
      <c r="E176">
        <f t="shared" si="63"/>
        <v>5.7299999999999995</v>
      </c>
      <c r="F176" s="1">
        <f>+($G$6*(30-$C$22)+$G$7*$C$22)/30</f>
        <v>0.10616666666666667</v>
      </c>
      <c r="G176">
        <f>+F176*'Melkepriskalender (per liter)'!$I$7</f>
        <v>849.33333333333337</v>
      </c>
      <c r="H176" s="7">
        <f t="shared" si="61"/>
        <v>4866.6799999999994</v>
      </c>
      <c r="I176" s="7">
        <f t="shared" si="64"/>
        <v>4866.6799999999994</v>
      </c>
    </row>
    <row r="177" spans="1:12">
      <c r="A177" t="s">
        <v>81</v>
      </c>
      <c r="B177">
        <f t="shared" si="62"/>
        <v>1</v>
      </c>
      <c r="C177">
        <v>30</v>
      </c>
      <c r="D177">
        <f t="shared" si="60"/>
        <v>5.29</v>
      </c>
      <c r="E177">
        <f t="shared" si="63"/>
        <v>5.27</v>
      </c>
      <c r="F177" s="1">
        <f>+($G$7*(30-$C$22)+$G$8*$C$22)/30</f>
        <v>9.6666666666666665E-2</v>
      </c>
      <c r="G177">
        <f>+F177*'Melkepriskalender (per liter)'!$I$7</f>
        <v>773.33333333333337</v>
      </c>
      <c r="H177" s="7">
        <f t="shared" si="61"/>
        <v>4090.9333333333334</v>
      </c>
      <c r="I177" s="7">
        <f t="shared" si="64"/>
        <v>4075.4666666666667</v>
      </c>
    </row>
    <row r="178" spans="1:12">
      <c r="A178" t="s">
        <v>82</v>
      </c>
      <c r="B178">
        <f t="shared" si="62"/>
        <v>2</v>
      </c>
      <c r="C178">
        <v>30</v>
      </c>
      <c r="D178">
        <f t="shared" si="60"/>
        <v>5.29</v>
      </c>
      <c r="E178">
        <f t="shared" si="63"/>
        <v>5.27</v>
      </c>
      <c r="F178" s="1">
        <f>+($G$8*(30-$C$22)+$G$9*$C$22)/30</f>
        <v>8.7499999999999994E-2</v>
      </c>
      <c r="G178">
        <f>+F178*'Melkepriskalender (per liter)'!$I$7</f>
        <v>700</v>
      </c>
      <c r="H178" s="7">
        <f t="shared" si="61"/>
        <v>3703</v>
      </c>
      <c r="I178" s="7">
        <f t="shared" si="64"/>
        <v>3688.9999999999995</v>
      </c>
    </row>
    <row r="179" spans="1:12">
      <c r="A179" t="s">
        <v>83</v>
      </c>
      <c r="B179">
        <f t="shared" si="62"/>
        <v>3</v>
      </c>
      <c r="C179">
        <v>30</v>
      </c>
      <c r="D179">
        <f t="shared" si="60"/>
        <v>5.29</v>
      </c>
      <c r="E179">
        <f t="shared" si="63"/>
        <v>5.27</v>
      </c>
      <c r="F179" s="1">
        <f>+($G$9*(30-$C$22)+$G$10*$C$22)/30</f>
        <v>7.85E-2</v>
      </c>
      <c r="G179">
        <f>+F179*'Melkepriskalender (per liter)'!$I$7</f>
        <v>628</v>
      </c>
      <c r="H179" s="7">
        <f t="shared" si="61"/>
        <v>3322.12</v>
      </c>
      <c r="I179" s="7">
        <f t="shared" si="64"/>
        <v>3309.56</v>
      </c>
    </row>
    <row r="180" spans="1:12">
      <c r="A180" t="s">
        <v>84</v>
      </c>
      <c r="B180">
        <f t="shared" si="62"/>
        <v>4</v>
      </c>
      <c r="C180">
        <v>30</v>
      </c>
      <c r="D180">
        <f t="shared" si="60"/>
        <v>5.29</v>
      </c>
      <c r="E180">
        <f t="shared" si="63"/>
        <v>5.27</v>
      </c>
      <c r="F180" s="1">
        <f>+($G$10*(30-$C$22)+$G$11*$C$22)/30</f>
        <v>7.0333333333333345E-2</v>
      </c>
      <c r="G180">
        <f>+F180*'Melkepriskalender (per liter)'!$I$7</f>
        <v>562.66666666666674</v>
      </c>
      <c r="H180" s="7">
        <f t="shared" si="61"/>
        <v>2976.5066666666671</v>
      </c>
      <c r="I180" s="7">
        <f t="shared" si="64"/>
        <v>2965.2533333333336</v>
      </c>
    </row>
    <row r="181" spans="1:12">
      <c r="A181" t="s">
        <v>85</v>
      </c>
      <c r="B181">
        <f t="shared" si="62"/>
        <v>5</v>
      </c>
      <c r="C181">
        <v>30</v>
      </c>
      <c r="D181">
        <f t="shared" si="60"/>
        <v>5.37</v>
      </c>
      <c r="E181">
        <f t="shared" si="63"/>
        <v>5.37</v>
      </c>
      <c r="F181" s="1">
        <f>+($G$11*(30-$C$22)+$G$12*$C$22)/30</f>
        <v>5.9000000000000004E-2</v>
      </c>
      <c r="G181">
        <f>+F181*'Melkepriskalender (per liter)'!$I$7</f>
        <v>472.00000000000006</v>
      </c>
      <c r="H181" s="7">
        <f t="shared" si="61"/>
        <v>2534.6400000000003</v>
      </c>
      <c r="I181" s="7">
        <f t="shared" si="64"/>
        <v>2534.6400000000003</v>
      </c>
    </row>
    <row r="182" spans="1:12">
      <c r="A182" t="s">
        <v>86</v>
      </c>
      <c r="B182">
        <f t="shared" si="62"/>
        <v>6</v>
      </c>
      <c r="C182">
        <f>300-SUM(C172:C181)</f>
        <v>5</v>
      </c>
      <c r="D182">
        <f t="shared" si="60"/>
        <v>6.77</v>
      </c>
      <c r="E182">
        <f t="shared" si="63"/>
        <v>6.47</v>
      </c>
      <c r="F182" s="1">
        <f>+($G$12*(30-$C$22)+$G$13*$C$22)/30</f>
        <v>9.5000000000000015E-3</v>
      </c>
      <c r="G182">
        <f>+F182*'Melkepriskalender (per liter)'!$I$7</f>
        <v>76.000000000000014</v>
      </c>
      <c r="H182" s="7">
        <f t="shared" si="61"/>
        <v>514.5200000000001</v>
      </c>
      <c r="I182" s="7">
        <f t="shared" si="64"/>
        <v>491.72000000000008</v>
      </c>
    </row>
    <row r="183" spans="1:12">
      <c r="J183" s="70" t="s">
        <v>70</v>
      </c>
      <c r="K183" s="70"/>
      <c r="L183" s="60"/>
    </row>
    <row r="184" spans="1:12">
      <c r="A184" t="s">
        <v>71</v>
      </c>
      <c r="J184" s="60" t="s">
        <v>1</v>
      </c>
      <c r="K184" s="60" t="s">
        <v>49</v>
      </c>
      <c r="L184" s="60"/>
    </row>
    <row r="185" spans="1:12">
      <c r="A185" s="3">
        <f>+DATE(2019,C185,$B$20)</f>
        <v>43714</v>
      </c>
      <c r="B185">
        <f>+DAY(A185)</f>
        <v>6</v>
      </c>
      <c r="C185">
        <f>+IF(C170&gt;11,1,C170+1)</f>
        <v>9</v>
      </c>
      <c r="D185" s="71" t="s">
        <v>50</v>
      </c>
      <c r="E185" s="71"/>
      <c r="H185" s="70" t="s">
        <v>72</v>
      </c>
      <c r="I185" s="70"/>
      <c r="J185" s="6">
        <f>+SUM(H187:H197)</f>
        <v>46586.013333333336</v>
      </c>
      <c r="K185" s="6">
        <f>+SUM(I187:I197)</f>
        <v>46279.813333333332</v>
      </c>
    </row>
    <row r="186" spans="1:12">
      <c r="C186" t="s">
        <v>73</v>
      </c>
      <c r="D186" s="59" t="s">
        <v>1</v>
      </c>
      <c r="E186" s="59" t="s">
        <v>49</v>
      </c>
      <c r="F186" t="s">
        <v>74</v>
      </c>
      <c r="G186" t="s">
        <v>75</v>
      </c>
      <c r="H186" s="60" t="s">
        <v>1</v>
      </c>
      <c r="I186" s="60" t="s">
        <v>49</v>
      </c>
    </row>
    <row r="187" spans="1:12">
      <c r="A187" t="s">
        <v>76</v>
      </c>
      <c r="B187">
        <f>+C185</f>
        <v>9</v>
      </c>
      <c r="C187">
        <f>30-B185+1</f>
        <v>25</v>
      </c>
      <c r="D187">
        <f t="shared" ref="D187:D197" si="65">+SUMIF($B$3:$B$14,B187,$C$3:$C$14)</f>
        <v>7.42</v>
      </c>
      <c r="E187">
        <f>+SUMIF($B$3:$B$14,$B187,D$3:D$14)</f>
        <v>7.2299999999999995</v>
      </c>
      <c r="F187" s="1">
        <f>+$G$3*$C187/30</f>
        <v>0.10250000000000001</v>
      </c>
      <c r="G187">
        <f>+F187*'Melkepriskalender (per liter)'!$I$7</f>
        <v>820.00000000000011</v>
      </c>
      <c r="H187" s="7">
        <f t="shared" ref="H187:H197" si="66">+G187*D187</f>
        <v>6084.4000000000005</v>
      </c>
      <c r="I187" s="7">
        <f>+$G187*E187</f>
        <v>5928.6</v>
      </c>
    </row>
    <row r="188" spans="1:12">
      <c r="A188" t="s">
        <v>77</v>
      </c>
      <c r="B188">
        <f t="shared" ref="B188:B197" si="67">IF(B187+1&gt;12,1,B187+1)</f>
        <v>10</v>
      </c>
      <c r="C188">
        <v>30</v>
      </c>
      <c r="D188">
        <f t="shared" si="65"/>
        <v>5.96</v>
      </c>
      <c r="E188">
        <f t="shared" ref="E188:E197" si="68">+SUMIF($B$3:$B$14,$B188,D$3:D$14)</f>
        <v>6.0299999999999994</v>
      </c>
      <c r="F188" s="1">
        <f>+($G$3*(30-$C$22)+$G$4*$C$22)/30</f>
        <v>0.13716666666666669</v>
      </c>
      <c r="G188">
        <f>+F188*'Melkepriskalender (per liter)'!$I$7</f>
        <v>1097.3333333333335</v>
      </c>
      <c r="H188" s="7">
        <f t="shared" si="66"/>
        <v>6540.1066666666675</v>
      </c>
      <c r="I188" s="7">
        <f t="shared" ref="I188:I197" si="69">+$G188*E188</f>
        <v>6616.92</v>
      </c>
    </row>
    <row r="189" spans="1:12">
      <c r="A189" t="s">
        <v>78</v>
      </c>
      <c r="B189">
        <f t="shared" si="67"/>
        <v>11</v>
      </c>
      <c r="C189">
        <v>30</v>
      </c>
      <c r="D189">
        <f t="shared" si="65"/>
        <v>5.7299999999999995</v>
      </c>
      <c r="E189">
        <f t="shared" si="68"/>
        <v>5.7299999999999995</v>
      </c>
      <c r="F189" s="1">
        <f>+($G$4*(30-$C$22)+$G$5*$C$22)/30</f>
        <v>0.13666666666666669</v>
      </c>
      <c r="G189">
        <f>+F189*'Melkepriskalender (per liter)'!$I$7</f>
        <v>1093.3333333333335</v>
      </c>
      <c r="H189" s="7">
        <f t="shared" si="66"/>
        <v>6264.8</v>
      </c>
      <c r="I189" s="7">
        <f t="shared" si="69"/>
        <v>6264.8</v>
      </c>
    </row>
    <row r="190" spans="1:12">
      <c r="A190" t="s">
        <v>79</v>
      </c>
      <c r="B190">
        <f t="shared" si="67"/>
        <v>12</v>
      </c>
      <c r="C190">
        <v>30</v>
      </c>
      <c r="D190">
        <f t="shared" si="65"/>
        <v>5.7299999999999995</v>
      </c>
      <c r="E190">
        <f t="shared" si="68"/>
        <v>5.7299999999999995</v>
      </c>
      <c r="F190" s="1">
        <f>+($G$5*(30-$C$22)+$G$6*$C$22)/30</f>
        <v>0.11600000000000002</v>
      </c>
      <c r="G190">
        <f>+F190*'Melkepriskalender (per liter)'!$I$7</f>
        <v>928.00000000000011</v>
      </c>
      <c r="H190" s="7">
        <f t="shared" si="66"/>
        <v>5317.4400000000005</v>
      </c>
      <c r="I190" s="7">
        <f t="shared" si="69"/>
        <v>5317.4400000000005</v>
      </c>
    </row>
    <row r="191" spans="1:12">
      <c r="A191" t="s">
        <v>80</v>
      </c>
      <c r="B191">
        <f t="shared" si="67"/>
        <v>1</v>
      </c>
      <c r="C191">
        <v>30</v>
      </c>
      <c r="D191">
        <f t="shared" si="65"/>
        <v>5.29</v>
      </c>
      <c r="E191">
        <f t="shared" si="68"/>
        <v>5.27</v>
      </c>
      <c r="F191" s="1">
        <f>+($G$6*(30-$C$22)+$G$7*$C$22)/30</f>
        <v>0.10616666666666667</v>
      </c>
      <c r="G191">
        <f>+F191*'Melkepriskalender (per liter)'!$I$7</f>
        <v>849.33333333333337</v>
      </c>
      <c r="H191" s="7">
        <f t="shared" si="66"/>
        <v>4492.9733333333334</v>
      </c>
      <c r="I191" s="7">
        <f t="shared" si="69"/>
        <v>4475.9866666666667</v>
      </c>
    </row>
    <row r="192" spans="1:12">
      <c r="A192" t="s">
        <v>81</v>
      </c>
      <c r="B192">
        <f t="shared" si="67"/>
        <v>2</v>
      </c>
      <c r="C192">
        <v>30</v>
      </c>
      <c r="D192">
        <f t="shared" si="65"/>
        <v>5.29</v>
      </c>
      <c r="E192">
        <f t="shared" si="68"/>
        <v>5.27</v>
      </c>
      <c r="F192" s="1">
        <f>+($G$7*(30-$C$22)+$G$8*$C$22)/30</f>
        <v>9.6666666666666665E-2</v>
      </c>
      <c r="G192">
        <f>+F192*'Melkepriskalender (per liter)'!$I$7</f>
        <v>773.33333333333337</v>
      </c>
      <c r="H192" s="7">
        <f t="shared" si="66"/>
        <v>4090.9333333333334</v>
      </c>
      <c r="I192" s="7">
        <f t="shared" si="69"/>
        <v>4075.4666666666667</v>
      </c>
    </row>
    <row r="193" spans="1:9">
      <c r="A193" t="s">
        <v>82</v>
      </c>
      <c r="B193">
        <f t="shared" si="67"/>
        <v>3</v>
      </c>
      <c r="C193">
        <v>30</v>
      </c>
      <c r="D193">
        <f t="shared" si="65"/>
        <v>5.29</v>
      </c>
      <c r="E193">
        <f t="shared" si="68"/>
        <v>5.27</v>
      </c>
      <c r="F193" s="1">
        <f>+($G$8*(30-$C$22)+$G$9*$C$22)/30</f>
        <v>8.7499999999999994E-2</v>
      </c>
      <c r="G193">
        <f>+F193*'Melkepriskalender (per liter)'!$I$7</f>
        <v>700</v>
      </c>
      <c r="H193" s="7">
        <f t="shared" si="66"/>
        <v>3703</v>
      </c>
      <c r="I193" s="7">
        <f t="shared" si="69"/>
        <v>3688.9999999999995</v>
      </c>
    </row>
    <row r="194" spans="1:9">
      <c r="A194" t="s">
        <v>83</v>
      </c>
      <c r="B194">
        <f t="shared" si="67"/>
        <v>4</v>
      </c>
      <c r="C194">
        <v>30</v>
      </c>
      <c r="D194">
        <f t="shared" si="65"/>
        <v>5.29</v>
      </c>
      <c r="E194">
        <f t="shared" si="68"/>
        <v>5.27</v>
      </c>
      <c r="F194" s="1">
        <f>+($G$9*(30-$C$22)+$G$10*$C$22)/30</f>
        <v>7.85E-2</v>
      </c>
      <c r="G194">
        <f>+F194*'Melkepriskalender (per liter)'!$I$7</f>
        <v>628</v>
      </c>
      <c r="H194" s="7">
        <f t="shared" si="66"/>
        <v>3322.12</v>
      </c>
      <c r="I194" s="7">
        <f t="shared" si="69"/>
        <v>3309.56</v>
      </c>
    </row>
    <row r="195" spans="1:9">
      <c r="A195" t="s">
        <v>84</v>
      </c>
      <c r="B195">
        <f t="shared" si="67"/>
        <v>5</v>
      </c>
      <c r="C195">
        <v>30</v>
      </c>
      <c r="D195">
        <f t="shared" si="65"/>
        <v>5.37</v>
      </c>
      <c r="E195">
        <f t="shared" si="68"/>
        <v>5.37</v>
      </c>
      <c r="F195" s="1">
        <f>+($G$10*(30-$C$22)+$G$11*$C$22)/30</f>
        <v>7.0333333333333345E-2</v>
      </c>
      <c r="G195">
        <f>+F195*'Melkepriskalender (per liter)'!$I$7</f>
        <v>562.66666666666674</v>
      </c>
      <c r="H195" s="7">
        <f t="shared" si="66"/>
        <v>3021.5200000000004</v>
      </c>
      <c r="I195" s="7">
        <f t="shared" si="69"/>
        <v>3021.5200000000004</v>
      </c>
    </row>
    <row r="196" spans="1:9">
      <c r="A196" t="s">
        <v>85</v>
      </c>
      <c r="B196">
        <f t="shared" si="67"/>
        <v>6</v>
      </c>
      <c r="C196">
        <v>30</v>
      </c>
      <c r="D196">
        <f t="shared" si="65"/>
        <v>6.77</v>
      </c>
      <c r="E196">
        <f t="shared" si="68"/>
        <v>6.47</v>
      </c>
      <c r="F196" s="1">
        <f>+($G$11*(30-$C$22)+$G$12*$C$22)/30</f>
        <v>5.9000000000000004E-2</v>
      </c>
      <c r="G196">
        <f>+F196*'Melkepriskalender (per liter)'!$I$7</f>
        <v>472.00000000000006</v>
      </c>
      <c r="H196" s="7">
        <f t="shared" si="66"/>
        <v>3195.44</v>
      </c>
      <c r="I196" s="7">
        <f t="shared" si="69"/>
        <v>3053.84</v>
      </c>
    </row>
    <row r="197" spans="1:9">
      <c r="A197" t="s">
        <v>86</v>
      </c>
      <c r="B197">
        <f t="shared" si="67"/>
        <v>7</v>
      </c>
      <c r="C197">
        <f>300-SUM(C187:C196)</f>
        <v>5</v>
      </c>
      <c r="D197">
        <f t="shared" si="65"/>
        <v>7.2799999999999994</v>
      </c>
      <c r="E197">
        <f t="shared" si="68"/>
        <v>6.93</v>
      </c>
      <c r="F197" s="1">
        <f>+($G$12*(30-$C$22)+$G$13*$C$22)/30</f>
        <v>9.5000000000000015E-3</v>
      </c>
      <c r="G197">
        <f>+F197*'Melkepriskalender (per liter)'!$I$7</f>
        <v>76.000000000000014</v>
      </c>
      <c r="H197" s="7">
        <f t="shared" si="66"/>
        <v>553.28000000000009</v>
      </c>
      <c r="I197" s="7">
        <f t="shared" si="69"/>
        <v>526.68000000000006</v>
      </c>
    </row>
  </sheetData>
  <mergeCells count="39">
    <mergeCell ref="M1:P1"/>
    <mergeCell ref="Q1:T1"/>
    <mergeCell ref="S17:T17"/>
    <mergeCell ref="J18:K18"/>
    <mergeCell ref="D20:E20"/>
    <mergeCell ref="H20:I20"/>
    <mergeCell ref="J33:K33"/>
    <mergeCell ref="D35:E35"/>
    <mergeCell ref="H35:I35"/>
    <mergeCell ref="J48:K48"/>
    <mergeCell ref="D50:E50"/>
    <mergeCell ref="H50:I50"/>
    <mergeCell ref="J63:K63"/>
    <mergeCell ref="D65:E65"/>
    <mergeCell ref="H65:I65"/>
    <mergeCell ref="J78:K78"/>
    <mergeCell ref="D80:E80"/>
    <mergeCell ref="H80:I80"/>
    <mergeCell ref="J93:K93"/>
    <mergeCell ref="D95:E95"/>
    <mergeCell ref="H95:I95"/>
    <mergeCell ref="J108:K108"/>
    <mergeCell ref="D110:E110"/>
    <mergeCell ref="H110:I110"/>
    <mergeCell ref="J123:K123"/>
    <mergeCell ref="D125:E125"/>
    <mergeCell ref="H125:I125"/>
    <mergeCell ref="J138:K138"/>
    <mergeCell ref="D140:E140"/>
    <mergeCell ref="H140:I140"/>
    <mergeCell ref="J183:K183"/>
    <mergeCell ref="D185:E185"/>
    <mergeCell ref="H185:I185"/>
    <mergeCell ref="J153:K153"/>
    <mergeCell ref="D155:E155"/>
    <mergeCell ref="H155:I155"/>
    <mergeCell ref="J168:K168"/>
    <mergeCell ref="D170:E170"/>
    <mergeCell ref="H170:I17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dcb00c2-8ae5-486e-9549-19c24d4cd647">
      <UserInfo>
        <DisplayName>Berit Grindflek</DisplayName>
        <AccountId>250</AccountId>
        <AccountType/>
      </UserInfo>
      <UserInfo>
        <DisplayName>TRM</DisplayName>
        <AccountId>459</AccountId>
        <AccountType/>
      </UserInfo>
      <UserInfo>
        <DisplayName>Jo Helge Sunde</DisplayName>
        <AccountId>79</AccountId>
        <AccountType/>
      </UserInfo>
    </SharedWithUsers>
    <cb2867a07c6242e2af714240197b8951 xmlns="b0612421-4710-4eed-8e34-25b06f54417b">
      <Terms xmlns="http://schemas.microsoft.com/office/infopath/2007/PartnerControls"/>
    </cb2867a07c6242e2af714240197b8951>
    <TaxCatchAll xmlns="b0612421-4710-4eed-8e34-25b06f54417b">
      <Value>2</Value>
      <Value>1</Value>
    </TaxCatchAll>
    <abb68db830a84d6db7a8a40c589c1d0b xmlns="b0612421-4710-4eed-8e34-25b06f5441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TINE rådgiving</TermName>
          <TermId xmlns="http://schemas.microsoft.com/office/infopath/2007/PartnerControls">9a2f501d-7110-48cd-9ec8-468f5eca573c</TermId>
        </TermInfo>
      </Terms>
    </abb68db830a84d6db7a8a40c589c1d0b>
    <ha5956d0923d4475b900c611051b9b31 xmlns="b0612421-4710-4eed-8e34-25b06f54417b">
      <Terms xmlns="http://schemas.microsoft.com/office/infopath/2007/PartnerControls"/>
    </ha5956d0923d4475b900c611051b9b31>
    <k30097aab5eb4241a491a912dd5ea558 xmlns="b0612421-4710-4eed-8e34-25b06f5441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TINE</TermName>
          <TermId xmlns="http://schemas.microsoft.com/office/infopath/2007/PartnerControls">71bd05df-4a09-41c0-adef-af4b74f5cb57</TermId>
        </TermInfo>
      </Terms>
    </k30097aab5eb4241a491a912dd5ea558>
    <ACTInternalContact xmlns="b0612421-4710-4eed-8e34-25b06f54417b">
      <UserInfo>
        <DisplayName/>
        <AccountId>76</AccountId>
        <AccountType/>
      </UserInfo>
    </ACTInternalContact>
    <ACTDocumentStatus xmlns="b0612421-4710-4eed-8e34-25b06f54417b">Aktivt</ACTDocumentStatus>
    <ceb4cb9297a54e989d5354fda722877a xmlns="b0612421-4710-4eed-8e34-25b06f54417b">
      <Terms xmlns="http://schemas.microsoft.com/office/infopath/2007/PartnerControls"/>
    </ceb4cb9297a54e989d5354fda722877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 (TINE)" ma:contentTypeID="0x01010003762F86CA4E7C47BAAF4F04C0CFDDED060C00FB6586D1A59328438ED2ED705167F5D8" ma:contentTypeVersion="25" ma:contentTypeDescription="Create a new document." ma:contentTypeScope="" ma:versionID="6d8064ed9118833505bf7a4ae28371a3">
  <xsd:schema xmlns:xsd="http://www.w3.org/2001/XMLSchema" xmlns:xs="http://www.w3.org/2001/XMLSchema" xmlns:p="http://schemas.microsoft.com/office/2006/metadata/properties" xmlns:ns2="b0612421-4710-4eed-8e34-25b06f54417b" xmlns:ns3="8a8c2565-0305-480f-ad26-61432661606f" xmlns:ns4="7dcb00c2-8ae5-486e-9549-19c24d4cd647" targetNamespace="http://schemas.microsoft.com/office/2006/metadata/properties" ma:root="true" ma:fieldsID="fb8d997768e3a818a634337844e14a77" ns2:_="" ns3:_="" ns4:_="">
    <xsd:import namespace="b0612421-4710-4eed-8e34-25b06f54417b"/>
    <xsd:import namespace="8a8c2565-0305-480f-ad26-61432661606f"/>
    <xsd:import namespace="7dcb00c2-8ae5-486e-9549-19c24d4cd647"/>
    <xsd:element name="properties">
      <xsd:complexType>
        <xsd:sequence>
          <xsd:element name="documentManagement">
            <xsd:complexType>
              <xsd:all>
                <xsd:element ref="ns2:ACTInternalContact" minOccurs="0"/>
                <xsd:element ref="ns2:ACTDocumentStatus" minOccurs="0"/>
                <xsd:element ref="ns2:cb2867a07c6242e2af714240197b8951" minOccurs="0"/>
                <xsd:element ref="ns2:abb68db830a84d6db7a8a40c589c1d0b" minOccurs="0"/>
                <xsd:element ref="ns2:ha5956d0923d4475b900c611051b9b31" minOccurs="0"/>
                <xsd:element ref="ns2:ceb4cb9297a54e989d5354fda722877a" minOccurs="0"/>
                <xsd:element ref="ns2:TaxCatchAll" minOccurs="0"/>
                <xsd:element ref="ns2:TaxCatchAllLabel" minOccurs="0"/>
                <xsd:element ref="ns2:k30097aab5eb4241a491a912dd5ea558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12421-4710-4eed-8e34-25b06f54417b" elementFormDefault="qualified">
    <xsd:import namespace="http://schemas.microsoft.com/office/2006/documentManagement/types"/>
    <xsd:import namespace="http://schemas.microsoft.com/office/infopath/2007/PartnerControls"/>
    <xsd:element name="ACTInternalContact" ma:index="2" nillable="true" ma:displayName="Intern kontakt" ma:list="UserInfo" ma:SharePointGroup="0" ma:internalName="ACTInternal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DocumentStatus" ma:index="5" nillable="true" ma:displayName="Dokumentstatus" ma:default="Aktivt" ma:format="Dropdown" ma:indexed="true" ma:internalName="ACTDocumentStatus" ma:readOnly="false">
      <xsd:simpleType>
        <xsd:restriction base="dms:Choice">
          <xsd:enumeration value="Aktivt"/>
          <xsd:enumeration value="Endelig"/>
        </xsd:restriction>
      </xsd:simpleType>
    </xsd:element>
    <xsd:element name="cb2867a07c6242e2af714240197b8951" ma:index="10" nillable="true" ma:taxonomy="true" ma:internalName="cb2867a07c6242e2af714240197b8951" ma:taxonomyFieldName="ACTDocumentType" ma:displayName="Dokumenttype" ma:default="" ma:fieldId="{cb2867a0-7c62-42e2-af71-4240197b8951}" ma:sspId="a5191461-e606-43d9-995f-23c881113b13" ma:termSetId="3d0e5ffc-d70e-4428-b903-562742172a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bb68db830a84d6db7a8a40c589c1d0b" ma:index="12" nillable="true" ma:taxonomy="true" ma:internalName="abb68db830a84d6db7a8a40c589c1d0b" ma:taxonomyFieldName="ACTOrganisations" ma:displayName="Avdelinger" ma:default="" ma:fieldId="{abb68db8-30a8-4d6d-b7a8-a40c589c1d0b}" ma:taxonomyMulti="true" ma:sspId="a5191461-e606-43d9-995f-23c881113b13" ma:termSetId="62228a6c-ba63-496f-b700-574895a075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5956d0923d4475b900c611051b9b31" ma:index="14" nillable="true" ma:taxonomy="true" ma:internalName="ha5956d0923d4475b900c611051b9b31" ma:taxonomyFieldName="ACTLocations" ma:displayName="Lokasjoner" ma:default="" ma:fieldId="{1a5956d0-923d-4475-b900-c611051b9b31}" ma:taxonomyMulti="true" ma:sspId="a5191461-e606-43d9-995f-23c881113b13" ma:termSetId="9ae2070d-31b1-410c-8637-b2376bb935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b4cb9297a54e989d5354fda722877a" ma:index="16" nillable="true" ma:taxonomy="true" ma:internalName="ceb4cb9297a54e989d5354fda722877a" ma:taxonomyFieldName="ACTTopics" ma:displayName="Emner" ma:default="" ma:fieldId="{ceb4cb92-97a5-4e98-9d53-54fda722877a}" ma:taxonomyMulti="true" ma:sspId="a5191461-e606-43d9-995f-23c881113b13" ma:termSetId="4f75633b-7f29-4fb7-97af-dff98519a7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70eea91-a89e-4916-89a3-914471b9c588}" ma:internalName="TaxCatchAll" ma:showField="CatchAllData" ma:web="7dcb00c2-8ae5-486e-9549-19c24d4cd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070eea91-a89e-4916-89a3-914471b9c588}" ma:internalName="TaxCatchAllLabel" ma:readOnly="true" ma:showField="CatchAllDataLabel" ma:web="7dcb00c2-8ae5-486e-9549-19c24d4cd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0097aab5eb4241a491a912dd5ea558" ma:index="20" nillable="true" ma:taxonomy="true" ma:internalName="k30097aab5eb4241a491a912dd5ea558" ma:taxonomyFieldName="ACPCompanys" ma:displayName="Selskaper" ma:readOnly="false" ma:default="" ma:fieldId="{430097aa-b5eb-4241-a491-a912dd5ea558}" ma:taxonomyMulti="true" ma:sspId="a5191461-e606-43d9-995f-23c881113b13" ma:termSetId="f47b4ffe-a5bf-4c7d-b5b0-0be14104c7a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c2565-0305-480f-ad26-614326616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b00c2-8ae5-486e-9549-19c24d4cd647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a5191461-e606-43d9-995f-23c881113b13" ContentTypeId="0x01010003762F86CA4E7C47BAAF4F04C0CFDDED060C" PreviousValue="false"/>
</file>

<file path=customXml/itemProps1.xml><?xml version="1.0" encoding="utf-8"?>
<ds:datastoreItem xmlns:ds="http://schemas.openxmlformats.org/officeDocument/2006/customXml" ds:itemID="{401610AD-9248-4991-83E6-CEF4BDC2CAA0}"/>
</file>

<file path=customXml/itemProps2.xml><?xml version="1.0" encoding="utf-8"?>
<ds:datastoreItem xmlns:ds="http://schemas.openxmlformats.org/officeDocument/2006/customXml" ds:itemID="{C9E8D109-64BA-4BBC-B299-664B0782D90A}"/>
</file>

<file path=customXml/itemProps3.xml><?xml version="1.0" encoding="utf-8"?>
<ds:datastoreItem xmlns:ds="http://schemas.openxmlformats.org/officeDocument/2006/customXml" ds:itemID="{F98A2890-59CB-47CB-B945-004B27B5C417}"/>
</file>

<file path=customXml/itemProps4.xml><?xml version="1.0" encoding="utf-8"?>
<ds:datastoreItem xmlns:ds="http://schemas.openxmlformats.org/officeDocument/2006/customXml" ds:itemID="{8493C0AD-6892-48D1-B1F0-2823A6EE96AA}"/>
</file>

<file path=customXml/itemProps5.xml><?xml version="1.0" encoding="utf-8"?>
<ds:datastoreItem xmlns:ds="http://schemas.openxmlformats.org/officeDocument/2006/customXml" ds:itemID="{6D03DA6D-62B6-4A62-90FE-25FAF9B14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Owen</dc:creator>
  <cp:keywords/>
  <dc:description/>
  <cp:lastModifiedBy/>
  <cp:revision/>
  <dcterms:created xsi:type="dcterms:W3CDTF">2019-11-14T10:35:47Z</dcterms:created>
  <dcterms:modified xsi:type="dcterms:W3CDTF">2025-12-16T12:17:24Z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0x01010003762F86CA4E7C47BAAF4F04C0CFDDED060C00FB6586D1A59328438ED2ED705167F5D8</vt:lpwstr>
  </property>
  <property fmtid="{D5CDD505-2E9C-101B-9397-08002B2CF9AE}" pid="3" name="ACPCompanys">
    <vt:lpwstr>2;#TINE|71bd05df-4a09-41c0-adef-af4b74f5cb57</vt:lpwstr>
  </property>
  <property fmtid="{D5CDD505-2E9C-101B-9397-08002B2CF9AE}" pid="4" name="ACTDocumentType">
    <vt:lpwstr/>
  </property>
  <property fmtid="{D5CDD505-2E9C-101B-9397-08002B2CF9AE}" pid="5" name="ACTLocations">
    <vt:lpwstr/>
  </property>
  <property fmtid="{D5CDD505-2E9C-101B-9397-08002B2CF9AE}" pid="6" name="ACTTopics">
    <vt:lpwstr/>
  </property>
  <property fmtid="{D5CDD505-2E9C-101B-9397-08002B2CF9AE}" pid="7" name="ACTOrganisations">
    <vt:lpwstr>1;#TINE rådgiving|9a2f501d-7110-48cd-9ec8-468f5eca573c</vt:lpwstr>
  </property>
  <property fmtid="{D5CDD505-2E9C-101B-9397-08002B2CF9AE}" pid="8" name="ACTClassification">
    <vt:lpwstr>Intern</vt:lpwstr>
  </property>
  <property fmtid="{D5CDD505-2E9C-101B-9397-08002B2CF9AE}" pid="9" name="MSIP_Label_af09caff-18ef-4bd6-8873-ec9a948da47b_Enabled">
    <vt:lpwstr>true</vt:lpwstr>
  </property>
  <property fmtid="{D5CDD505-2E9C-101B-9397-08002B2CF9AE}" pid="10" name="MSIP_Label_af09caff-18ef-4bd6-8873-ec9a948da47b_SetDate">
    <vt:lpwstr>2022-09-15T07:06:23Z</vt:lpwstr>
  </property>
  <property fmtid="{D5CDD505-2E9C-101B-9397-08002B2CF9AE}" pid="11" name="MSIP_Label_af09caff-18ef-4bd6-8873-ec9a948da47b_Method">
    <vt:lpwstr>Standard</vt:lpwstr>
  </property>
  <property fmtid="{D5CDD505-2E9C-101B-9397-08002B2CF9AE}" pid="12" name="MSIP_Label_af09caff-18ef-4bd6-8873-ec9a948da47b_Name">
    <vt:lpwstr>Internal</vt:lpwstr>
  </property>
  <property fmtid="{D5CDD505-2E9C-101B-9397-08002B2CF9AE}" pid="13" name="MSIP_Label_af09caff-18ef-4bd6-8873-ec9a948da47b_SiteId">
    <vt:lpwstr>d02b4c26-5109-47e0-8712-0e19a90257d6</vt:lpwstr>
  </property>
  <property fmtid="{D5CDD505-2E9C-101B-9397-08002B2CF9AE}" pid="14" name="MSIP_Label_af09caff-18ef-4bd6-8873-ec9a948da47b_ActionId">
    <vt:lpwstr>4697b9c8-d96e-4e85-85d9-e5d70dcf6aff</vt:lpwstr>
  </property>
  <property fmtid="{D5CDD505-2E9C-101B-9397-08002B2CF9AE}" pid="15" name="MSIP_Label_af09caff-18ef-4bd6-8873-ec9a948da47b_ContentBits">
    <vt:lpwstr>0</vt:lpwstr>
  </property>
</Properties>
</file>